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autoCompressPictures="0"/>
  <bookViews>
    <workbookView xWindow="0" yWindow="0" windowWidth="19440" windowHeight="15600" tabRatio="696" firstSheet="7" activeTab="16"/>
  </bookViews>
  <sheets>
    <sheet name="Overview" sheetId="26" r:id="rId1"/>
    <sheet name="Commentary" sheetId="27" r:id="rId2"/>
    <sheet name="CDCM Forecast Data" sheetId="29" r:id="rId3"/>
    <sheet name="Table 1" sheetId="28" r:id="rId4"/>
    <sheet name="Smoothed Input Details" sheetId="30" r:id="rId5"/>
    <sheet name="Mat of App" sheetId="31" r:id="rId6"/>
    <sheet name="CDCM Volume Forecasts" sheetId="32" r:id="rId7"/>
    <sheet name="CDCM Timebands" sheetId="33" r:id="rId8"/>
    <sheet name="(Y)" sheetId="34" r:id="rId9"/>
    <sheet name="(Y+1)" sheetId="35" r:id="rId10"/>
    <sheet name="(Y+2)" sheetId="36" r:id="rId11"/>
    <sheet name="(Y+3)" sheetId="37" r:id="rId12"/>
    <sheet name="(Y+4)" sheetId="38" r:id="rId13"/>
    <sheet name="Tariffs ARP" sheetId="39" r:id="rId14"/>
    <sheet name="Typical Bill" sheetId="40" r:id="rId15"/>
    <sheet name="Vlookup" sheetId="41" r:id="rId16"/>
    <sheet name="Tariffs" sheetId="45" r:id="rId17"/>
    <sheet name="Summary" sheetId="46" r:id="rId18"/>
    <sheet name="CDCM" sheetId="47" r:id="rId19"/>
  </sheets>
  <externalReferences>
    <externalReference r:id="rId20"/>
  </externalReferences>
  <definedNames>
    <definedName name="Forcast_Data" localSheetId="15">'CDCM Forecast Data'!$A$14:$J$281</definedName>
    <definedName name="PC_LLFC_1" localSheetId="8">[1]Tariffs!$D$88:$E$145,[1]Tariffs!$L$88:$L$145</definedName>
    <definedName name="PC_LLFC_1" localSheetId="14">'Typical Bill'!#REF!,'Typical Bill'!#REF!</definedName>
    <definedName name="PC_LLFC_Source" localSheetId="8">[1]Tariffs!$D$21:$E$78,[1]Tariffs!$L$21:$L$78</definedName>
    <definedName name="PC_LLFC_Source" localSheetId="14">'Typical Bill'!#REF!,'Typical Bill'!#REF!</definedName>
    <definedName name="_xlnm.Print_Area" localSheetId="18">CDCM!$A:$V</definedName>
    <definedName name="_xlnm.Print_Area" localSheetId="3">'Table 1'!$A$1:$K$51</definedName>
    <definedName name="_xlnm.Print_Area" localSheetId="14">'Typical Bill'!$B$18:$G$113</definedName>
    <definedName name="_xlnm.Print_Titles" localSheetId="2">'CDCM Forecast Data'!$3:$12</definedName>
    <definedName name="_xlnm.Print_Titles" localSheetId="14">'Typical Bill'!$13:$19</definedName>
    <definedName name="Tariffs_Y" localSheetId="14">'Typical Bill'!#REF!</definedName>
    <definedName name="Tariffs_Y_1" localSheetId="14">'Typical Bill'!#REF!</definedName>
    <definedName name="Tariffs_Y_2" localSheetId="14">'Typical Bill'!#REF!</definedName>
    <definedName name="Tariffs_Y_3" localSheetId="14">'Typical Bill'!#REF!</definedName>
    <definedName name="Tariffs_Y_4" localSheetId="14">'Typical Bill'!#REF!</definedName>
    <definedName name="Volume_Forecast_Data" localSheetId="15">'CDCM Volume Forecasts'!$A$27:$AG$123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38" i="29" l="1"/>
  <c r="H38" i="29" s="1"/>
  <c r="I38" i="29" s="1"/>
  <c r="G37" i="29"/>
  <c r="H37" i="29" s="1"/>
  <c r="I37" i="29" s="1"/>
  <c r="H36" i="29"/>
  <c r="I36" i="29" s="1"/>
  <c r="G36" i="29"/>
  <c r="G35" i="29"/>
  <c r="H35" i="29" s="1"/>
  <c r="I35" i="29" s="1"/>
  <c r="G34" i="29"/>
  <c r="H34" i="29" s="1"/>
  <c r="I34" i="29" s="1"/>
  <c r="H33" i="29"/>
  <c r="I33" i="29" s="1"/>
  <c r="G33" i="29"/>
  <c r="G32" i="29"/>
  <c r="H32" i="29" s="1"/>
  <c r="I32" i="29" s="1"/>
  <c r="G31" i="29"/>
  <c r="H31" i="29" s="1"/>
  <c r="I31" i="29" s="1"/>
  <c r="G53" i="29" l="1"/>
  <c r="H53" i="29" s="1"/>
  <c r="I53" i="29" s="1"/>
  <c r="G52" i="29"/>
  <c r="H52" i="29" s="1"/>
  <c r="I52" i="29" s="1"/>
  <c r="H51" i="29"/>
  <c r="I51" i="29" s="1"/>
  <c r="G51" i="29"/>
  <c r="G50" i="29"/>
  <c r="H50" i="29" s="1"/>
  <c r="I50" i="29" s="1"/>
  <c r="G49" i="29"/>
  <c r="H49" i="29" s="1"/>
  <c r="I49" i="29" s="1"/>
  <c r="G47" i="29"/>
  <c r="H47" i="29" s="1"/>
  <c r="I47" i="29" s="1"/>
  <c r="H46" i="29"/>
  <c r="I46" i="29" s="1"/>
  <c r="G46" i="29"/>
  <c r="G45" i="29"/>
  <c r="H45" i="29" s="1"/>
  <c r="I45" i="29" s="1"/>
  <c r="G44" i="29"/>
  <c r="H44" i="29" s="1"/>
  <c r="I44" i="29" s="1"/>
  <c r="G43" i="29"/>
  <c r="H43" i="29" s="1"/>
  <c r="I43" i="29" s="1"/>
  <c r="H42" i="29"/>
  <c r="I42" i="29" s="1"/>
  <c r="G42" i="29"/>
  <c r="G41" i="29"/>
  <c r="H41" i="29" s="1"/>
  <c r="I41" i="29" s="1"/>
  <c r="G40" i="29"/>
  <c r="H40" i="29" s="1"/>
  <c r="I40" i="29" s="1"/>
  <c r="F116" i="29"/>
  <c r="G116" i="29" s="1"/>
  <c r="H116" i="29" s="1"/>
  <c r="I116" i="29" s="1"/>
  <c r="F114" i="29"/>
  <c r="G114" i="29" s="1"/>
  <c r="H114" i="29" s="1"/>
  <c r="I114" i="29" s="1"/>
  <c r="F113" i="29"/>
  <c r="G113" i="29" s="1"/>
  <c r="H113" i="29" s="1"/>
  <c r="I113" i="29" s="1"/>
  <c r="F111" i="29"/>
  <c r="G111" i="29" s="1"/>
  <c r="H111" i="29" s="1"/>
  <c r="I111" i="29" s="1"/>
  <c r="E251" i="29" l="1"/>
  <c r="E250" i="29"/>
  <c r="E249" i="29"/>
  <c r="E248" i="29"/>
  <c r="E247" i="29"/>
  <c r="E246" i="29"/>
  <c r="E245" i="29"/>
  <c r="E244" i="29"/>
  <c r="F244" i="29" s="1"/>
  <c r="G244" i="29" s="1"/>
  <c r="H244" i="29" s="1"/>
  <c r="I244" i="29" s="1"/>
  <c r="E243" i="29"/>
  <c r="E241" i="29"/>
  <c r="E240" i="29"/>
  <c r="E239" i="29"/>
  <c r="E238" i="29"/>
  <c r="E237" i="29"/>
  <c r="E236" i="29"/>
  <c r="E235" i="29"/>
  <c r="F235" i="29" s="1"/>
  <c r="G235" i="29" s="1"/>
  <c r="H235" i="29" s="1"/>
  <c r="I235" i="29" s="1"/>
  <c r="E234" i="29"/>
  <c r="E233" i="29"/>
  <c r="E231" i="29"/>
  <c r="E230" i="29"/>
  <c r="F230" i="29" s="1"/>
  <c r="G230" i="29" s="1"/>
  <c r="H230" i="29" s="1"/>
  <c r="I230" i="29" s="1"/>
  <c r="E229" i="29"/>
  <c r="E228" i="29"/>
  <c r="E227" i="29"/>
  <c r="E226" i="29"/>
  <c r="E225" i="29"/>
  <c r="E224" i="29"/>
  <c r="E223" i="29"/>
  <c r="E212" i="29"/>
  <c r="F212" i="29" s="1"/>
  <c r="G212" i="29" s="1"/>
  <c r="H212" i="29" s="1"/>
  <c r="I212" i="29" s="1"/>
  <c r="E211" i="29"/>
  <c r="E210" i="29"/>
  <c r="E209" i="29"/>
  <c r="E207" i="29"/>
  <c r="F207" i="29" s="1"/>
  <c r="G207" i="29" s="1"/>
  <c r="H207" i="29" s="1"/>
  <c r="I207" i="29" s="1"/>
  <c r="E206" i="29"/>
  <c r="E205" i="29"/>
  <c r="E204" i="29"/>
  <c r="E202" i="29"/>
  <c r="F202" i="29" s="1"/>
  <c r="G202" i="29" s="1"/>
  <c r="H202" i="29" s="1"/>
  <c r="I202" i="29" s="1"/>
  <c r="E201" i="29"/>
  <c r="E200" i="29"/>
  <c r="E199" i="29"/>
  <c r="E196" i="29"/>
  <c r="F196" i="29" s="1"/>
  <c r="G196" i="29" s="1"/>
  <c r="H196" i="29" s="1"/>
  <c r="I196" i="29" s="1"/>
  <c r="E195" i="29"/>
  <c r="E194" i="29"/>
  <c r="E193" i="29"/>
  <c r="E192" i="29"/>
  <c r="E190" i="29"/>
  <c r="E189" i="29"/>
  <c r="E188" i="29"/>
  <c r="E187" i="29"/>
  <c r="F187" i="29" s="1"/>
  <c r="G187" i="29" s="1"/>
  <c r="H187" i="29" s="1"/>
  <c r="I187" i="29" s="1"/>
  <c r="E186" i="29"/>
  <c r="E184" i="29"/>
  <c r="E183" i="29"/>
  <c r="E182" i="29"/>
  <c r="F182" i="29" s="1"/>
  <c r="G182" i="29" s="1"/>
  <c r="H182" i="29" s="1"/>
  <c r="I182" i="29" s="1"/>
  <c r="E181" i="29"/>
  <c r="E180" i="29"/>
  <c r="E177" i="29"/>
  <c r="E176" i="29"/>
  <c r="F176" i="29" s="1"/>
  <c r="G176" i="29" s="1"/>
  <c r="H176" i="29" s="1"/>
  <c r="I176" i="29" s="1"/>
  <c r="E175" i="29"/>
  <c r="E174" i="29"/>
  <c r="E173" i="29"/>
  <c r="E172" i="29"/>
  <c r="E171" i="29"/>
  <c r="E170" i="29"/>
  <c r="E169" i="29"/>
  <c r="E167" i="29"/>
  <c r="F167" i="29" s="1"/>
  <c r="G167" i="29" s="1"/>
  <c r="H167" i="29" s="1"/>
  <c r="I167" i="29" s="1"/>
  <c r="E166" i="29"/>
  <c r="E165" i="29"/>
  <c r="E164" i="29"/>
  <c r="E163" i="29"/>
  <c r="F163" i="29" s="1"/>
  <c r="G163" i="29" s="1"/>
  <c r="H163" i="29" s="1"/>
  <c r="I163" i="29" s="1"/>
  <c r="E162" i="29"/>
  <c r="E161" i="29"/>
  <c r="E160" i="29"/>
  <c r="E159" i="29"/>
  <c r="E157" i="29"/>
  <c r="E156" i="29"/>
  <c r="E155" i="29"/>
  <c r="E154" i="29"/>
  <c r="F154" i="29" s="1"/>
  <c r="G154" i="29" s="1"/>
  <c r="H154" i="29" s="1"/>
  <c r="I154" i="29" s="1"/>
  <c r="E153" i="29"/>
  <c r="E152" i="29"/>
  <c r="E151" i="29"/>
  <c r="E150" i="29"/>
  <c r="F150" i="29" s="1"/>
  <c r="G150" i="29" s="1"/>
  <c r="H150" i="29" s="1"/>
  <c r="I150" i="29" s="1"/>
  <c r="E149" i="29"/>
  <c r="E109" i="29"/>
  <c r="E108" i="29"/>
  <c r="E107" i="29"/>
  <c r="E106" i="29"/>
  <c r="E105" i="29"/>
  <c r="E104" i="29"/>
  <c r="E103" i="29"/>
  <c r="F103" i="29" s="1"/>
  <c r="G103" i="29" s="1"/>
  <c r="H103" i="29" s="1"/>
  <c r="I103" i="29" s="1"/>
  <c r="E102" i="29"/>
  <c r="E101" i="29"/>
  <c r="E100" i="29"/>
  <c r="E99" i="29"/>
  <c r="E98" i="29"/>
  <c r="E97" i="29"/>
  <c r="E96" i="29"/>
  <c r="E95" i="29"/>
  <c r="E94" i="29"/>
  <c r="E93" i="29"/>
  <c r="E92" i="29"/>
  <c r="E91" i="29"/>
  <c r="E89" i="29"/>
  <c r="E88" i="29"/>
  <c r="E87" i="29"/>
  <c r="E86" i="29"/>
  <c r="F86" i="29" s="1"/>
  <c r="G86" i="29" s="1"/>
  <c r="H86" i="29" s="1"/>
  <c r="I86" i="29" s="1"/>
  <c r="E85" i="29"/>
  <c r="E84" i="29"/>
  <c r="E83" i="29"/>
  <c r="E82" i="29"/>
  <c r="E81" i="29"/>
  <c r="E80" i="29"/>
  <c r="E79" i="29"/>
  <c r="E78" i="29"/>
  <c r="E77" i="29"/>
  <c r="E75" i="29"/>
  <c r="E74" i="29"/>
  <c r="E72" i="29"/>
  <c r="E71" i="29"/>
  <c r="I13" i="29"/>
  <c r="H13" i="29"/>
  <c r="G13" i="29"/>
  <c r="F13" i="29"/>
  <c r="J45" i="28"/>
  <c r="E45" i="28"/>
  <c r="J39" i="28"/>
  <c r="E39" i="28"/>
  <c r="J30" i="28"/>
  <c r="E30" i="28"/>
  <c r="H30" i="28"/>
  <c r="H17" i="28"/>
  <c r="J17" i="28"/>
  <c r="E17" i="28"/>
  <c r="H11" i="28"/>
  <c r="H33" i="28" s="1"/>
  <c r="J11" i="28"/>
  <c r="E11" i="28"/>
  <c r="E33" i="28" s="1"/>
  <c r="E50" i="28" s="1"/>
  <c r="F11" i="28"/>
  <c r="F257" i="29"/>
  <c r="G257" i="29" s="1"/>
  <c r="H257" i="29" s="1"/>
  <c r="I257" i="29" s="1"/>
  <c r="F254" i="29"/>
  <c r="G254" i="29" s="1"/>
  <c r="H254" i="29" s="1"/>
  <c r="I254" i="29" s="1"/>
  <c r="F253" i="29"/>
  <c r="G253" i="29" s="1"/>
  <c r="H253" i="29" s="1"/>
  <c r="I253" i="29" s="1"/>
  <c r="E51" i="28"/>
  <c r="I45" i="28"/>
  <c r="H45" i="28"/>
  <c r="G45" i="28"/>
  <c r="F45" i="28"/>
  <c r="D45" i="28"/>
  <c r="F39" i="28"/>
  <c r="I39" i="28"/>
  <c r="H39" i="28"/>
  <c r="G39" i="28"/>
  <c r="D39" i="28"/>
  <c r="F30" i="28"/>
  <c r="I30" i="28"/>
  <c r="G30" i="28"/>
  <c r="D30" i="28"/>
  <c r="I17" i="28"/>
  <c r="F17" i="28"/>
  <c r="G17" i="28"/>
  <c r="D17" i="28"/>
  <c r="I11" i="28"/>
  <c r="I33" i="28" s="1"/>
  <c r="G11" i="28"/>
  <c r="D11" i="28"/>
  <c r="D33" i="28" s="1"/>
  <c r="D50" i="28" s="1"/>
  <c r="E271" i="29"/>
  <c r="F271" i="29" s="1"/>
  <c r="G271" i="29" s="1"/>
  <c r="H271" i="29" s="1"/>
  <c r="I271" i="29" s="1"/>
  <c r="E270" i="29"/>
  <c r="F270" i="29" s="1"/>
  <c r="G270" i="29" s="1"/>
  <c r="H270" i="29" s="1"/>
  <c r="I270" i="29" s="1"/>
  <c r="E269" i="29"/>
  <c r="F269" i="29" s="1"/>
  <c r="G269" i="29" s="1"/>
  <c r="H269" i="29" s="1"/>
  <c r="I269" i="29" s="1"/>
  <c r="E268" i="29"/>
  <c r="F268" i="29" s="1"/>
  <c r="G268" i="29" s="1"/>
  <c r="H268" i="29" s="1"/>
  <c r="I268" i="29" s="1"/>
  <c r="E267" i="29"/>
  <c r="F267" i="29" s="1"/>
  <c r="G267" i="29" s="1"/>
  <c r="H267" i="29" s="1"/>
  <c r="I267" i="29" s="1"/>
  <c r="E266" i="29"/>
  <c r="F266" i="29" s="1"/>
  <c r="G266" i="29" s="1"/>
  <c r="H266" i="29" s="1"/>
  <c r="I266" i="29" s="1"/>
  <c r="E265" i="29"/>
  <c r="F265" i="29" s="1"/>
  <c r="G265" i="29" s="1"/>
  <c r="H265" i="29" s="1"/>
  <c r="I265" i="29" s="1"/>
  <c r="E264" i="29"/>
  <c r="F264" i="29" s="1"/>
  <c r="G264" i="29" s="1"/>
  <c r="H264" i="29" s="1"/>
  <c r="I264" i="29" s="1"/>
  <c r="E263" i="29"/>
  <c r="F263" i="29" s="1"/>
  <c r="G263" i="29" s="1"/>
  <c r="H263" i="29" s="1"/>
  <c r="I263" i="29" s="1"/>
  <c r="F261" i="29"/>
  <c r="G261" i="29" s="1"/>
  <c r="H261" i="29" s="1"/>
  <c r="I261" i="29" s="1"/>
  <c r="F260" i="29"/>
  <c r="G260" i="29" s="1"/>
  <c r="H260" i="29" s="1"/>
  <c r="I260" i="29" s="1"/>
  <c r="F259" i="29"/>
  <c r="G259" i="29" s="1"/>
  <c r="H259" i="29" s="1"/>
  <c r="I259" i="29" s="1"/>
  <c r="F258" i="29"/>
  <c r="G258" i="29" s="1"/>
  <c r="H258" i="29" s="1"/>
  <c r="I258" i="29" s="1"/>
  <c r="F256" i="29"/>
  <c r="G256" i="29" s="1"/>
  <c r="H256" i="29" s="1"/>
  <c r="I256" i="29" s="1"/>
  <c r="F255" i="29"/>
  <c r="G255" i="29" s="1"/>
  <c r="H255" i="29" s="1"/>
  <c r="I255" i="29" s="1"/>
  <c r="F251" i="29"/>
  <c r="G251" i="29" s="1"/>
  <c r="H251" i="29" s="1"/>
  <c r="I251" i="29" s="1"/>
  <c r="F250" i="29"/>
  <c r="G250" i="29" s="1"/>
  <c r="H250" i="29" s="1"/>
  <c r="I250" i="29" s="1"/>
  <c r="F249" i="29"/>
  <c r="G249" i="29" s="1"/>
  <c r="H249" i="29" s="1"/>
  <c r="I249" i="29" s="1"/>
  <c r="F248" i="29"/>
  <c r="G248" i="29" s="1"/>
  <c r="H248" i="29" s="1"/>
  <c r="I248" i="29" s="1"/>
  <c r="F247" i="29"/>
  <c r="G247" i="29" s="1"/>
  <c r="H247" i="29" s="1"/>
  <c r="I247" i="29" s="1"/>
  <c r="F246" i="29"/>
  <c r="G246" i="29" s="1"/>
  <c r="H246" i="29" s="1"/>
  <c r="I246" i="29" s="1"/>
  <c r="F245" i="29"/>
  <c r="G245" i="29" s="1"/>
  <c r="H245" i="29" s="1"/>
  <c r="I245" i="29" s="1"/>
  <c r="H243" i="29"/>
  <c r="I243" i="29" s="1"/>
  <c r="G243" i="29"/>
  <c r="F243" i="29"/>
  <c r="H241" i="29"/>
  <c r="I241" i="29" s="1"/>
  <c r="F241" i="29"/>
  <c r="G241" i="29" s="1"/>
  <c r="F240" i="29"/>
  <c r="G240" i="29" s="1"/>
  <c r="H240" i="29" s="1"/>
  <c r="I240" i="29" s="1"/>
  <c r="F239" i="29"/>
  <c r="G239" i="29" s="1"/>
  <c r="H239" i="29" s="1"/>
  <c r="I239" i="29" s="1"/>
  <c r="H238" i="29"/>
  <c r="I238" i="29" s="1"/>
  <c r="G238" i="29"/>
  <c r="F238" i="29"/>
  <c r="I237" i="29"/>
  <c r="H237" i="29"/>
  <c r="F237" i="29"/>
  <c r="G237" i="29" s="1"/>
  <c r="F236" i="29"/>
  <c r="G236" i="29" s="1"/>
  <c r="H236" i="29" s="1"/>
  <c r="I236" i="29" s="1"/>
  <c r="F234" i="29"/>
  <c r="G234" i="29" s="1"/>
  <c r="H234" i="29" s="1"/>
  <c r="I234" i="29" s="1"/>
  <c r="F233" i="29"/>
  <c r="G233" i="29" s="1"/>
  <c r="H233" i="29" s="1"/>
  <c r="I233" i="29" s="1"/>
  <c r="I231" i="29"/>
  <c r="F231" i="29"/>
  <c r="G231" i="29" s="1"/>
  <c r="H231" i="29" s="1"/>
  <c r="G229" i="29"/>
  <c r="H229" i="29" s="1"/>
  <c r="I229" i="29" s="1"/>
  <c r="F229" i="29"/>
  <c r="H228" i="29"/>
  <c r="I228" i="29" s="1"/>
  <c r="F228" i="29"/>
  <c r="G228" i="29" s="1"/>
  <c r="F227" i="29"/>
  <c r="G227" i="29" s="1"/>
  <c r="H227" i="29" s="1"/>
  <c r="I227" i="29" s="1"/>
  <c r="F226" i="29"/>
  <c r="G226" i="29" s="1"/>
  <c r="H226" i="29" s="1"/>
  <c r="I226" i="29" s="1"/>
  <c r="G225" i="29"/>
  <c r="H225" i="29" s="1"/>
  <c r="I225" i="29" s="1"/>
  <c r="F225" i="29"/>
  <c r="F224" i="29"/>
  <c r="G224" i="29" s="1"/>
  <c r="H224" i="29" s="1"/>
  <c r="I224" i="29" s="1"/>
  <c r="F223" i="29"/>
  <c r="G223" i="29" s="1"/>
  <c r="H223" i="29" s="1"/>
  <c r="I223" i="29" s="1"/>
  <c r="F211" i="29"/>
  <c r="G211" i="29" s="1"/>
  <c r="H211" i="29" s="1"/>
  <c r="I211" i="29" s="1"/>
  <c r="G210" i="29"/>
  <c r="H210" i="29" s="1"/>
  <c r="I210" i="29" s="1"/>
  <c r="F210" i="29"/>
  <c r="F209" i="29"/>
  <c r="G209" i="29" s="1"/>
  <c r="H209" i="29" s="1"/>
  <c r="I209" i="29" s="1"/>
  <c r="I206" i="29"/>
  <c r="F206" i="29"/>
  <c r="G206" i="29" s="1"/>
  <c r="H206" i="29" s="1"/>
  <c r="F205" i="29"/>
  <c r="G205" i="29" s="1"/>
  <c r="H205" i="29" s="1"/>
  <c r="I205" i="29" s="1"/>
  <c r="F204" i="29"/>
  <c r="G204" i="29" s="1"/>
  <c r="H204" i="29" s="1"/>
  <c r="I204" i="29" s="1"/>
  <c r="F201" i="29"/>
  <c r="G201" i="29" s="1"/>
  <c r="H201" i="29" s="1"/>
  <c r="I201" i="29" s="1"/>
  <c r="F200" i="29"/>
  <c r="G200" i="29" s="1"/>
  <c r="H200" i="29" s="1"/>
  <c r="I200" i="29" s="1"/>
  <c r="F199" i="29"/>
  <c r="G199" i="29" s="1"/>
  <c r="H199" i="29" s="1"/>
  <c r="I199" i="29" s="1"/>
  <c r="I195" i="29"/>
  <c r="F195" i="29"/>
  <c r="G195" i="29" s="1"/>
  <c r="H195" i="29" s="1"/>
  <c r="F194" i="29"/>
  <c r="G194" i="29" s="1"/>
  <c r="H194" i="29" s="1"/>
  <c r="I194" i="29" s="1"/>
  <c r="F193" i="29"/>
  <c r="G193" i="29" s="1"/>
  <c r="H193" i="29" s="1"/>
  <c r="I193" i="29" s="1"/>
  <c r="F192" i="29"/>
  <c r="G192" i="29" s="1"/>
  <c r="H192" i="29" s="1"/>
  <c r="I192" i="29" s="1"/>
  <c r="F190" i="29"/>
  <c r="G190" i="29" s="1"/>
  <c r="H190" i="29" s="1"/>
  <c r="I190" i="29" s="1"/>
  <c r="F189" i="29"/>
  <c r="G189" i="29" s="1"/>
  <c r="H189" i="29" s="1"/>
  <c r="I189" i="29" s="1"/>
  <c r="F188" i="29"/>
  <c r="G188" i="29" s="1"/>
  <c r="H188" i="29" s="1"/>
  <c r="I188" i="29" s="1"/>
  <c r="I186" i="29"/>
  <c r="F186" i="29"/>
  <c r="G186" i="29" s="1"/>
  <c r="H186" i="29" s="1"/>
  <c r="F184" i="29"/>
  <c r="G184" i="29" s="1"/>
  <c r="H184" i="29" s="1"/>
  <c r="I184" i="29" s="1"/>
  <c r="F183" i="29"/>
  <c r="G183" i="29" s="1"/>
  <c r="H183" i="29" s="1"/>
  <c r="I183" i="29" s="1"/>
  <c r="F181" i="29"/>
  <c r="G181" i="29" s="1"/>
  <c r="H181" i="29" s="1"/>
  <c r="I181" i="29" s="1"/>
  <c r="F180" i="29"/>
  <c r="G180" i="29" s="1"/>
  <c r="H180" i="29" s="1"/>
  <c r="I180" i="29" s="1"/>
  <c r="F177" i="29"/>
  <c r="G177" i="29" s="1"/>
  <c r="H177" i="29" s="1"/>
  <c r="I177" i="29" s="1"/>
  <c r="I175" i="29"/>
  <c r="F175" i="29"/>
  <c r="G175" i="29" s="1"/>
  <c r="H175" i="29" s="1"/>
  <c r="F174" i="29"/>
  <c r="G174" i="29" s="1"/>
  <c r="H174" i="29" s="1"/>
  <c r="I174" i="29" s="1"/>
  <c r="F173" i="29"/>
  <c r="G173" i="29" s="1"/>
  <c r="H173" i="29" s="1"/>
  <c r="I173" i="29" s="1"/>
  <c r="F172" i="29"/>
  <c r="G172" i="29" s="1"/>
  <c r="H172" i="29" s="1"/>
  <c r="I172" i="29" s="1"/>
  <c r="F171" i="29"/>
  <c r="G171" i="29" s="1"/>
  <c r="H171" i="29" s="1"/>
  <c r="I171" i="29" s="1"/>
  <c r="F170" i="29"/>
  <c r="G170" i="29" s="1"/>
  <c r="H170" i="29" s="1"/>
  <c r="I170" i="29" s="1"/>
  <c r="F169" i="29"/>
  <c r="G169" i="29" s="1"/>
  <c r="H169" i="29" s="1"/>
  <c r="I169" i="29" s="1"/>
  <c r="I166" i="29"/>
  <c r="F166" i="29"/>
  <c r="G166" i="29" s="1"/>
  <c r="H166" i="29" s="1"/>
  <c r="F165" i="29"/>
  <c r="G165" i="29" s="1"/>
  <c r="H165" i="29" s="1"/>
  <c r="I165" i="29" s="1"/>
  <c r="F164" i="29"/>
  <c r="G164" i="29" s="1"/>
  <c r="H164" i="29" s="1"/>
  <c r="I164" i="29" s="1"/>
  <c r="F162" i="29"/>
  <c r="G162" i="29" s="1"/>
  <c r="H162" i="29" s="1"/>
  <c r="I162" i="29" s="1"/>
  <c r="F161" i="29"/>
  <c r="G161" i="29" s="1"/>
  <c r="H161" i="29" s="1"/>
  <c r="I161" i="29" s="1"/>
  <c r="F160" i="29"/>
  <c r="G160" i="29" s="1"/>
  <c r="H160" i="29" s="1"/>
  <c r="I160" i="29" s="1"/>
  <c r="F159" i="29"/>
  <c r="G159" i="29" s="1"/>
  <c r="H159" i="29" s="1"/>
  <c r="I159" i="29" s="1"/>
  <c r="G157" i="29"/>
  <c r="H157" i="29" s="1"/>
  <c r="I157" i="29" s="1"/>
  <c r="F157" i="29"/>
  <c r="F156" i="29"/>
  <c r="G156" i="29" s="1"/>
  <c r="H156" i="29" s="1"/>
  <c r="I156" i="29" s="1"/>
  <c r="F155" i="29"/>
  <c r="G155" i="29" s="1"/>
  <c r="H155" i="29" s="1"/>
  <c r="I155" i="29" s="1"/>
  <c r="H153" i="29"/>
  <c r="I153" i="29" s="1"/>
  <c r="G153" i="29"/>
  <c r="F153" i="29"/>
  <c r="F152" i="29"/>
  <c r="G152" i="29" s="1"/>
  <c r="H152" i="29" s="1"/>
  <c r="I152" i="29" s="1"/>
  <c r="F151" i="29"/>
  <c r="G151" i="29" s="1"/>
  <c r="H151" i="29" s="1"/>
  <c r="I151" i="29" s="1"/>
  <c r="G149" i="29"/>
  <c r="H149" i="29" s="1"/>
  <c r="I149" i="29" s="1"/>
  <c r="F149" i="29"/>
  <c r="E146" i="29"/>
  <c r="F146" i="29" s="1"/>
  <c r="G146" i="29" s="1"/>
  <c r="H146" i="29" s="1"/>
  <c r="I146" i="29" s="1"/>
  <c r="E145" i="29"/>
  <c r="F145" i="29" s="1"/>
  <c r="G145" i="29" s="1"/>
  <c r="H145" i="29" s="1"/>
  <c r="I145" i="29" s="1"/>
  <c r="E144" i="29"/>
  <c r="F144" i="29" s="1"/>
  <c r="G144" i="29" s="1"/>
  <c r="H144" i="29" s="1"/>
  <c r="I144" i="29" s="1"/>
  <c r="F143" i="29"/>
  <c r="G143" i="29" s="1"/>
  <c r="H143" i="29" s="1"/>
  <c r="I143" i="29" s="1"/>
  <c r="E143" i="29"/>
  <c r="E141" i="29"/>
  <c r="F141" i="29" s="1"/>
  <c r="G141" i="29" s="1"/>
  <c r="H141" i="29" s="1"/>
  <c r="I141" i="29" s="1"/>
  <c r="E140" i="29"/>
  <c r="F140" i="29" s="1"/>
  <c r="G140" i="29" s="1"/>
  <c r="H140" i="29" s="1"/>
  <c r="I140" i="29" s="1"/>
  <c r="F139" i="29"/>
  <c r="G139" i="29" s="1"/>
  <c r="H139" i="29" s="1"/>
  <c r="I139" i="29" s="1"/>
  <c r="E139" i="29"/>
  <c r="F138" i="29"/>
  <c r="G138" i="29" s="1"/>
  <c r="H138" i="29" s="1"/>
  <c r="I138" i="29" s="1"/>
  <c r="E138" i="29"/>
  <c r="E137" i="29"/>
  <c r="F137" i="29" s="1"/>
  <c r="G137" i="29" s="1"/>
  <c r="H137" i="29" s="1"/>
  <c r="I137" i="29" s="1"/>
  <c r="E136" i="29"/>
  <c r="F136" i="29" s="1"/>
  <c r="G136" i="29" s="1"/>
  <c r="H136" i="29" s="1"/>
  <c r="I136" i="29" s="1"/>
  <c r="F134" i="29"/>
  <c r="G134" i="29" s="1"/>
  <c r="H134" i="29" s="1"/>
  <c r="I134" i="29" s="1"/>
  <c r="E134" i="29"/>
  <c r="F133" i="29"/>
  <c r="G133" i="29" s="1"/>
  <c r="H133" i="29" s="1"/>
  <c r="I133" i="29" s="1"/>
  <c r="E133" i="29"/>
  <c r="E132" i="29"/>
  <c r="F132" i="29" s="1"/>
  <c r="G132" i="29" s="1"/>
  <c r="H132" i="29" s="1"/>
  <c r="I132" i="29" s="1"/>
  <c r="E131" i="29"/>
  <c r="F131" i="29" s="1"/>
  <c r="G131" i="29" s="1"/>
  <c r="H131" i="29" s="1"/>
  <c r="I131" i="29" s="1"/>
  <c r="F130" i="29"/>
  <c r="G130" i="29" s="1"/>
  <c r="H130" i="29" s="1"/>
  <c r="I130" i="29" s="1"/>
  <c r="E130" i="29"/>
  <c r="F129" i="29"/>
  <c r="G129" i="29" s="1"/>
  <c r="H129" i="29" s="1"/>
  <c r="I129" i="29" s="1"/>
  <c r="E129" i="29"/>
  <c r="E128" i="29"/>
  <c r="F128" i="29" s="1"/>
  <c r="G128" i="29" s="1"/>
  <c r="H128" i="29" s="1"/>
  <c r="I128" i="29" s="1"/>
  <c r="E126" i="29"/>
  <c r="F126" i="29" s="1"/>
  <c r="G126" i="29" s="1"/>
  <c r="H126" i="29" s="1"/>
  <c r="I126" i="29" s="1"/>
  <c r="F125" i="29"/>
  <c r="G125" i="29" s="1"/>
  <c r="H125" i="29" s="1"/>
  <c r="I125" i="29" s="1"/>
  <c r="E125" i="29"/>
  <c r="F124" i="29"/>
  <c r="G124" i="29" s="1"/>
  <c r="H124" i="29" s="1"/>
  <c r="I124" i="29" s="1"/>
  <c r="E124" i="29"/>
  <c r="E123" i="29"/>
  <c r="F123" i="29" s="1"/>
  <c r="G123" i="29" s="1"/>
  <c r="H123" i="29" s="1"/>
  <c r="I123" i="29" s="1"/>
  <c r="E122" i="29"/>
  <c r="F122" i="29" s="1"/>
  <c r="G122" i="29" s="1"/>
  <c r="H122" i="29" s="1"/>
  <c r="I122" i="29" s="1"/>
  <c r="F121" i="29"/>
  <c r="G121" i="29" s="1"/>
  <c r="H121" i="29" s="1"/>
  <c r="I121" i="29" s="1"/>
  <c r="E121" i="29"/>
  <c r="F120" i="29"/>
  <c r="G120" i="29" s="1"/>
  <c r="H120" i="29" s="1"/>
  <c r="I120" i="29" s="1"/>
  <c r="E120" i="29"/>
  <c r="E119" i="29"/>
  <c r="F119" i="29" s="1"/>
  <c r="G119" i="29" s="1"/>
  <c r="H119" i="29" s="1"/>
  <c r="I119" i="29" s="1"/>
  <c r="F109" i="29"/>
  <c r="G109" i="29" s="1"/>
  <c r="H109" i="29" s="1"/>
  <c r="I109" i="29" s="1"/>
  <c r="H108" i="29"/>
  <c r="I108" i="29" s="1"/>
  <c r="G108" i="29"/>
  <c r="F108" i="29"/>
  <c r="F107" i="29"/>
  <c r="G107" i="29" s="1"/>
  <c r="H107" i="29" s="1"/>
  <c r="I107" i="29" s="1"/>
  <c r="F106" i="29"/>
  <c r="G106" i="29" s="1"/>
  <c r="H106" i="29" s="1"/>
  <c r="I106" i="29" s="1"/>
  <c r="G105" i="29"/>
  <c r="H105" i="29" s="1"/>
  <c r="I105" i="29" s="1"/>
  <c r="F105" i="29"/>
  <c r="H104" i="29"/>
  <c r="I104" i="29" s="1"/>
  <c r="G104" i="29"/>
  <c r="F104" i="29"/>
  <c r="F102" i="29"/>
  <c r="G102" i="29" s="1"/>
  <c r="H102" i="29" s="1"/>
  <c r="I102" i="29" s="1"/>
  <c r="G101" i="29"/>
  <c r="H101" i="29" s="1"/>
  <c r="I101" i="29" s="1"/>
  <c r="F101" i="29"/>
  <c r="G100" i="29"/>
  <c r="H100" i="29" s="1"/>
  <c r="I100" i="29" s="1"/>
  <c r="F100" i="29"/>
  <c r="F99" i="29"/>
  <c r="G99" i="29" s="1"/>
  <c r="H99" i="29" s="1"/>
  <c r="I99" i="29" s="1"/>
  <c r="F98" i="29"/>
  <c r="G98" i="29" s="1"/>
  <c r="H98" i="29" s="1"/>
  <c r="I98" i="29" s="1"/>
  <c r="G97" i="29"/>
  <c r="H97" i="29" s="1"/>
  <c r="I97" i="29" s="1"/>
  <c r="F97" i="29"/>
  <c r="F96" i="29"/>
  <c r="G96" i="29" s="1"/>
  <c r="H96" i="29" s="1"/>
  <c r="I96" i="29" s="1"/>
  <c r="F95" i="29"/>
  <c r="G95" i="29" s="1"/>
  <c r="H95" i="29" s="1"/>
  <c r="I95" i="29" s="1"/>
  <c r="F94" i="29"/>
  <c r="G94" i="29" s="1"/>
  <c r="H94" i="29" s="1"/>
  <c r="I94" i="29" s="1"/>
  <c r="F93" i="29"/>
  <c r="G93" i="29" s="1"/>
  <c r="H93" i="29" s="1"/>
  <c r="I93" i="29" s="1"/>
  <c r="H92" i="29"/>
  <c r="I92" i="29" s="1"/>
  <c r="G92" i="29"/>
  <c r="F92" i="29"/>
  <c r="F91" i="29"/>
  <c r="G91" i="29" s="1"/>
  <c r="H91" i="29" s="1"/>
  <c r="I91" i="29" s="1"/>
  <c r="F89" i="29"/>
  <c r="G89" i="29" s="1"/>
  <c r="H89" i="29" s="1"/>
  <c r="I89" i="29" s="1"/>
  <c r="G88" i="29"/>
  <c r="H88" i="29" s="1"/>
  <c r="I88" i="29" s="1"/>
  <c r="F88" i="29"/>
  <c r="H87" i="29"/>
  <c r="I87" i="29" s="1"/>
  <c r="G87" i="29"/>
  <c r="F87" i="29"/>
  <c r="F85" i="29"/>
  <c r="G85" i="29" s="1"/>
  <c r="H85" i="29" s="1"/>
  <c r="I85" i="29" s="1"/>
  <c r="G84" i="29"/>
  <c r="H84" i="29" s="1"/>
  <c r="I84" i="29" s="1"/>
  <c r="F84" i="29"/>
  <c r="G83" i="29"/>
  <c r="H83" i="29" s="1"/>
  <c r="I83" i="29" s="1"/>
  <c r="F83" i="29"/>
  <c r="F82" i="29"/>
  <c r="G82" i="29" s="1"/>
  <c r="H82" i="29" s="1"/>
  <c r="I82" i="29" s="1"/>
  <c r="F81" i="29"/>
  <c r="G81" i="29" s="1"/>
  <c r="H81" i="29" s="1"/>
  <c r="I81" i="29" s="1"/>
  <c r="G80" i="29"/>
  <c r="H80" i="29" s="1"/>
  <c r="I80" i="29" s="1"/>
  <c r="F80" i="29"/>
  <c r="F79" i="29"/>
  <c r="G79" i="29" s="1"/>
  <c r="H79" i="29" s="1"/>
  <c r="I79" i="29" s="1"/>
  <c r="F78" i="29"/>
  <c r="G78" i="29" s="1"/>
  <c r="H78" i="29" s="1"/>
  <c r="I78" i="29" s="1"/>
  <c r="F77" i="29"/>
  <c r="G77" i="29" s="1"/>
  <c r="H77" i="29" s="1"/>
  <c r="I77" i="29" s="1"/>
  <c r="F75" i="29"/>
  <c r="G75" i="29" s="1"/>
  <c r="H75" i="29" s="1"/>
  <c r="I75" i="29" s="1"/>
  <c r="H74" i="29"/>
  <c r="I74" i="29" s="1"/>
  <c r="G74" i="29"/>
  <c r="F74" i="29"/>
  <c r="F72" i="29"/>
  <c r="G72" i="29" s="1"/>
  <c r="H72" i="29" s="1"/>
  <c r="I72" i="29" s="1"/>
  <c r="F71" i="29"/>
  <c r="G71" i="29" s="1"/>
  <c r="H71" i="29" s="1"/>
  <c r="I71" i="29" s="1"/>
  <c r="I50" i="28" l="1"/>
  <c r="G33" i="28"/>
  <c r="H50" i="28" s="1"/>
  <c r="F33" i="28"/>
  <c r="F50" i="28" s="1"/>
  <c r="J33" i="28"/>
  <c r="J50" i="28" s="1"/>
  <c r="D40" i="28"/>
  <c r="D46" i="28" s="1"/>
  <c r="I40" i="28"/>
  <c r="E40" i="28"/>
  <c r="E46" i="28" s="1"/>
  <c r="D49" i="28"/>
  <c r="H40" i="28"/>
  <c r="E49" i="28"/>
  <c r="D51" i="28"/>
  <c r="C267" i="35"/>
  <c r="D267" i="35"/>
  <c r="B269" i="35"/>
  <c r="C271" i="35"/>
  <c r="D271" i="35"/>
  <c r="B273" i="35"/>
  <c r="D266" i="36"/>
  <c r="D267" i="36"/>
  <c r="B269" i="36"/>
  <c r="C269" i="36"/>
  <c r="D271" i="36"/>
  <c r="B273" i="36"/>
  <c r="D265" i="37"/>
  <c r="B267" i="37"/>
  <c r="C268" i="37"/>
  <c r="D269" i="37"/>
  <c r="B271" i="37"/>
  <c r="C272" i="37"/>
  <c r="D273" i="37"/>
  <c r="D265" i="38"/>
  <c r="B267" i="38"/>
  <c r="C267" i="38"/>
  <c r="C268" i="38"/>
  <c r="D269" i="38"/>
  <c r="B271" i="38"/>
  <c r="C271" i="38"/>
  <c r="C272" i="38"/>
  <c r="D272" i="38"/>
  <c r="D273" i="38"/>
  <c r="C267" i="34"/>
  <c r="D267" i="34"/>
  <c r="B269" i="34"/>
  <c r="C271" i="34"/>
  <c r="D271" i="34"/>
  <c r="B273" i="34"/>
  <c r="C235" i="41"/>
  <c r="C236" i="41"/>
  <c r="C237" i="41"/>
  <c r="C267" i="37" s="1"/>
  <c r="C238" i="41"/>
  <c r="C268" i="36" s="1"/>
  <c r="C239" i="41"/>
  <c r="C240" i="41"/>
  <c r="C241" i="41"/>
  <c r="C271" i="37" s="1"/>
  <c r="C242" i="41"/>
  <c r="C272" i="36" s="1"/>
  <c r="C243" i="41"/>
  <c r="C273" i="36" s="1"/>
  <c r="B222" i="41"/>
  <c r="C222" i="41"/>
  <c r="D222" i="41"/>
  <c r="E222" i="41"/>
  <c r="F222" i="41"/>
  <c r="G222" i="41"/>
  <c r="H222" i="41"/>
  <c r="I222" i="41"/>
  <c r="B223" i="41"/>
  <c r="C223" i="41"/>
  <c r="D223" i="41"/>
  <c r="E223" i="41"/>
  <c r="F223" i="41"/>
  <c r="G223" i="41"/>
  <c r="H223" i="41"/>
  <c r="B224" i="41"/>
  <c r="C224" i="41"/>
  <c r="D224" i="41"/>
  <c r="E224" i="41"/>
  <c r="F224" i="41"/>
  <c r="G224" i="41"/>
  <c r="B225" i="41"/>
  <c r="C225" i="41"/>
  <c r="D225" i="41"/>
  <c r="E225" i="41"/>
  <c r="M105" i="30"/>
  <c r="L105" i="30"/>
  <c r="K105" i="30"/>
  <c r="M104" i="30"/>
  <c r="L104" i="30"/>
  <c r="K104" i="30"/>
  <c r="M103" i="30"/>
  <c r="L103" i="30"/>
  <c r="K103" i="30"/>
  <c r="M102" i="30"/>
  <c r="L102" i="30"/>
  <c r="K102" i="30"/>
  <c r="E58" i="30"/>
  <c r="E57" i="30"/>
  <c r="E56" i="30"/>
  <c r="E29" i="30"/>
  <c r="E30" i="30"/>
  <c r="E31" i="30"/>
  <c r="M72" i="30"/>
  <c r="L72" i="30"/>
  <c r="K72" i="30"/>
  <c r="M71" i="30"/>
  <c r="L71" i="30"/>
  <c r="K71" i="30"/>
  <c r="E52" i="30"/>
  <c r="E51" i="30"/>
  <c r="E25" i="30"/>
  <c r="E24" i="30"/>
  <c r="D243" i="41"/>
  <c r="D273" i="36" s="1"/>
  <c r="B243" i="41"/>
  <c r="B273" i="38" s="1"/>
  <c r="D242" i="41"/>
  <c r="D272" i="34" s="1"/>
  <c r="B242" i="41"/>
  <c r="D241" i="41"/>
  <c r="D271" i="38" s="1"/>
  <c r="B241" i="41"/>
  <c r="B271" i="36" s="1"/>
  <c r="D240" i="41"/>
  <c r="D270" i="36" s="1"/>
  <c r="B240" i="41"/>
  <c r="D239" i="41"/>
  <c r="D269" i="36" s="1"/>
  <c r="B239" i="41"/>
  <c r="B269" i="38" s="1"/>
  <c r="D238" i="41"/>
  <c r="B238" i="41"/>
  <c r="D237" i="41"/>
  <c r="D267" i="38" s="1"/>
  <c r="B237" i="41"/>
  <c r="B267" i="36" s="1"/>
  <c r="D236" i="41"/>
  <c r="B236" i="41"/>
  <c r="D255" i="41"/>
  <c r="C255" i="41"/>
  <c r="B255" i="41"/>
  <c r="D254" i="41"/>
  <c r="C254" i="41"/>
  <c r="B254" i="41"/>
  <c r="D253" i="41"/>
  <c r="C253" i="41"/>
  <c r="B253" i="41"/>
  <c r="D252" i="41"/>
  <c r="C252" i="41"/>
  <c r="B252" i="41"/>
  <c r="D263" i="41"/>
  <c r="C263" i="41"/>
  <c r="B263" i="41"/>
  <c r="D262" i="41"/>
  <c r="C262" i="41"/>
  <c r="B262" i="41"/>
  <c r="D261" i="41"/>
  <c r="C261" i="41"/>
  <c r="B261" i="41"/>
  <c r="D277" i="41"/>
  <c r="C277" i="41"/>
  <c r="B277" i="41"/>
  <c r="D270" i="41"/>
  <c r="C270" i="41"/>
  <c r="B270" i="41"/>
  <c r="D260" i="41"/>
  <c r="C260" i="41"/>
  <c r="B260" i="41"/>
  <c r="D251" i="41"/>
  <c r="C251" i="41"/>
  <c r="B251" i="41"/>
  <c r="D235" i="41"/>
  <c r="D265" i="36" s="1"/>
  <c r="E214" i="41"/>
  <c r="D214" i="41"/>
  <c r="C214" i="41"/>
  <c r="B214" i="41"/>
  <c r="B209" i="41"/>
  <c r="B235" i="41"/>
  <c r="B142" i="35"/>
  <c r="C142" i="35"/>
  <c r="D142" i="35"/>
  <c r="E142" i="35"/>
  <c r="F142" i="35"/>
  <c r="G142" i="35"/>
  <c r="B142" i="36"/>
  <c r="C142" i="36"/>
  <c r="D142" i="36"/>
  <c r="E142" i="36"/>
  <c r="F142" i="36"/>
  <c r="G142" i="36"/>
  <c r="B142" i="37"/>
  <c r="C142" i="37"/>
  <c r="D142" i="37"/>
  <c r="E142" i="37"/>
  <c r="F142" i="37"/>
  <c r="G142" i="37"/>
  <c r="B142" i="38"/>
  <c r="C142" i="38"/>
  <c r="D142" i="38"/>
  <c r="E142" i="38"/>
  <c r="F142" i="38"/>
  <c r="G142" i="38"/>
  <c r="B142" i="34"/>
  <c r="C142" i="34"/>
  <c r="D142" i="34"/>
  <c r="E142" i="34"/>
  <c r="F142" i="34"/>
  <c r="G142" i="34"/>
  <c r="A28" i="32"/>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B108" i="41"/>
  <c r="B143" i="34" s="1"/>
  <c r="J298" i="41"/>
  <c r="J332" i="38"/>
  <c r="I298" i="41"/>
  <c r="I332" i="38" s="1"/>
  <c r="H298" i="41"/>
  <c r="H332" i="38"/>
  <c r="G298" i="41"/>
  <c r="G332" i="38" s="1"/>
  <c r="F298" i="41"/>
  <c r="F332" i="38"/>
  <c r="E298" i="41"/>
  <c r="E332" i="38" s="1"/>
  <c r="D298" i="41"/>
  <c r="D332" i="38"/>
  <c r="C298" i="41"/>
  <c r="C332" i="38" s="1"/>
  <c r="B298" i="41"/>
  <c r="B332" i="38"/>
  <c r="E291" i="41"/>
  <c r="E319" i="38"/>
  <c r="D291" i="41"/>
  <c r="D319" i="38"/>
  <c r="C291" i="41"/>
  <c r="C319" i="38"/>
  <c r="B291" i="41"/>
  <c r="B319" i="38"/>
  <c r="E290" i="41"/>
  <c r="E318" i="38"/>
  <c r="D290" i="41"/>
  <c r="D318" i="38"/>
  <c r="C290" i="41"/>
  <c r="C318" i="38"/>
  <c r="B290" i="41"/>
  <c r="B318" i="38"/>
  <c r="E289" i="41"/>
  <c r="E317" i="38"/>
  <c r="D289" i="41"/>
  <c r="D317" i="38"/>
  <c r="C289" i="41"/>
  <c r="C317" i="38"/>
  <c r="B289" i="41"/>
  <c r="B317" i="38"/>
  <c r="E288" i="41"/>
  <c r="E316" i="38"/>
  <c r="D288" i="41"/>
  <c r="D316" i="38"/>
  <c r="C288" i="41"/>
  <c r="C316" i="38"/>
  <c r="B288" i="41"/>
  <c r="B316" i="38"/>
  <c r="E287" i="41"/>
  <c r="E315" i="38"/>
  <c r="D287" i="41"/>
  <c r="D315" i="38"/>
  <c r="C287" i="41"/>
  <c r="C315" i="38"/>
  <c r="B287" i="41"/>
  <c r="B315" i="38"/>
  <c r="E286" i="41"/>
  <c r="E314" i="38"/>
  <c r="D286" i="41"/>
  <c r="D314" i="38"/>
  <c r="C286" i="41"/>
  <c r="C314" i="38"/>
  <c r="B286" i="41"/>
  <c r="B314" i="38"/>
  <c r="E285" i="41"/>
  <c r="E313" i="38"/>
  <c r="D285" i="41"/>
  <c r="D313" i="38"/>
  <c r="C285" i="41"/>
  <c r="C313" i="38"/>
  <c r="B285" i="41"/>
  <c r="B313" i="38"/>
  <c r="E284" i="41"/>
  <c r="E312" i="38"/>
  <c r="D284" i="41"/>
  <c r="D312" i="38"/>
  <c r="C284" i="41"/>
  <c r="C312" i="38"/>
  <c r="B284" i="41"/>
  <c r="B312" i="38"/>
  <c r="E283" i="41"/>
  <c r="E311" i="38"/>
  <c r="D283" i="41"/>
  <c r="D311" i="38"/>
  <c r="C283" i="41"/>
  <c r="C311" i="38"/>
  <c r="B283" i="41"/>
  <c r="B311" i="38"/>
  <c r="D304" i="38"/>
  <c r="C304" i="38"/>
  <c r="B304" i="38"/>
  <c r="D297" i="38"/>
  <c r="C297" i="38"/>
  <c r="B297" i="38"/>
  <c r="D290" i="38"/>
  <c r="C290" i="38"/>
  <c r="B290" i="38"/>
  <c r="D289" i="38"/>
  <c r="C289" i="38"/>
  <c r="B289" i="38"/>
  <c r="D288" i="38"/>
  <c r="C288" i="38"/>
  <c r="B288" i="38"/>
  <c r="D287" i="38"/>
  <c r="C287" i="38"/>
  <c r="B287" i="38"/>
  <c r="D282" i="38"/>
  <c r="C282" i="38"/>
  <c r="B282" i="38"/>
  <c r="D281" i="38"/>
  <c r="C281" i="38"/>
  <c r="B281" i="38"/>
  <c r="D280" i="38"/>
  <c r="C280" i="38"/>
  <c r="B280" i="38"/>
  <c r="D279" i="38"/>
  <c r="C279" i="38"/>
  <c r="B279" i="38"/>
  <c r="D278" i="38"/>
  <c r="C278" i="38"/>
  <c r="B278" i="38"/>
  <c r="E260" i="38"/>
  <c r="D260" i="38"/>
  <c r="C260" i="38"/>
  <c r="B260" i="38"/>
  <c r="G259" i="38"/>
  <c r="F259" i="38"/>
  <c r="E259" i="38"/>
  <c r="D259" i="38"/>
  <c r="C259" i="38"/>
  <c r="B259" i="38"/>
  <c r="H258" i="38"/>
  <c r="G258" i="38"/>
  <c r="F258" i="38"/>
  <c r="E258" i="38"/>
  <c r="D258" i="38"/>
  <c r="C258" i="38"/>
  <c r="B258" i="38"/>
  <c r="I257" i="38"/>
  <c r="H257" i="38"/>
  <c r="G257" i="38"/>
  <c r="F257" i="38"/>
  <c r="E257" i="38"/>
  <c r="D257" i="38"/>
  <c r="C257" i="38"/>
  <c r="B257" i="38"/>
  <c r="E249" i="38"/>
  <c r="D249" i="38"/>
  <c r="C249" i="38"/>
  <c r="B249" i="38"/>
  <c r="B244" i="38"/>
  <c r="C99" i="41"/>
  <c r="C134" i="38" s="1"/>
  <c r="B99" i="41"/>
  <c r="B134" i="38" s="1"/>
  <c r="C98" i="41"/>
  <c r="C133" i="38" s="1"/>
  <c r="B98" i="41"/>
  <c r="B133" i="38" s="1"/>
  <c r="C97" i="41"/>
  <c r="C132" i="38" s="1"/>
  <c r="B97" i="41"/>
  <c r="B132" i="38" s="1"/>
  <c r="C96" i="41"/>
  <c r="C131" i="38" s="1"/>
  <c r="B96" i="41"/>
  <c r="B131" i="38" s="1"/>
  <c r="C95" i="41"/>
  <c r="C130" i="38" s="1"/>
  <c r="B95" i="41"/>
  <c r="B130" i="38" s="1"/>
  <c r="C94" i="41"/>
  <c r="C129" i="38" s="1"/>
  <c r="B94" i="41"/>
  <c r="B129" i="38" s="1"/>
  <c r="C93" i="41"/>
  <c r="C128" i="38" s="1"/>
  <c r="B93" i="41"/>
  <c r="B128" i="38" s="1"/>
  <c r="C92" i="41"/>
  <c r="C127" i="38" s="1"/>
  <c r="B92" i="41"/>
  <c r="B127" i="38" s="1"/>
  <c r="C91" i="41"/>
  <c r="C126" i="38" s="1"/>
  <c r="B91" i="41"/>
  <c r="B126" i="38" s="1"/>
  <c r="C90" i="41"/>
  <c r="C125" i="38" s="1"/>
  <c r="B90" i="41"/>
  <c r="B125" i="38" s="1"/>
  <c r="C89" i="41"/>
  <c r="C124" i="38" s="1"/>
  <c r="B89" i="41"/>
  <c r="B124" i="38" s="1"/>
  <c r="C88" i="41"/>
  <c r="C123" i="38" s="1"/>
  <c r="B88" i="41"/>
  <c r="B123" i="38" s="1"/>
  <c r="C87" i="41"/>
  <c r="C122" i="38" s="1"/>
  <c r="B87" i="41"/>
  <c r="B122" i="38" s="1"/>
  <c r="C86" i="41"/>
  <c r="C121" i="38" s="1"/>
  <c r="C85" i="41"/>
  <c r="C120" i="38" s="1"/>
  <c r="B85" i="41"/>
  <c r="B120" i="38" s="1"/>
  <c r="C84" i="41"/>
  <c r="C119" i="38" s="1"/>
  <c r="B84" i="41"/>
  <c r="B119" i="38" s="1"/>
  <c r="C83" i="41"/>
  <c r="C118" i="38" s="1"/>
  <c r="C82" i="41"/>
  <c r="C117" i="38" s="1"/>
  <c r="B82" i="41"/>
  <c r="B117" i="38" s="1"/>
  <c r="C81" i="41"/>
  <c r="C116" i="38" s="1"/>
  <c r="B81" i="41"/>
  <c r="B116" i="38" s="1"/>
  <c r="F110" i="38"/>
  <c r="E110" i="38"/>
  <c r="D110" i="38"/>
  <c r="C110" i="38"/>
  <c r="H104" i="38"/>
  <c r="G104" i="38"/>
  <c r="F104" i="38"/>
  <c r="E104" i="38"/>
  <c r="D104" i="38"/>
  <c r="C104" i="38"/>
  <c r="B104" i="38"/>
  <c r="F63" i="38"/>
  <c r="E63" i="38"/>
  <c r="D63" i="38"/>
  <c r="C63" i="38"/>
  <c r="B63" i="38"/>
  <c r="I58" i="38"/>
  <c r="H58" i="38"/>
  <c r="G58" i="38"/>
  <c r="F58" i="38"/>
  <c r="E58" i="38"/>
  <c r="D58" i="38"/>
  <c r="C58" i="38"/>
  <c r="B58" i="38"/>
  <c r="B53" i="38"/>
  <c r="B52" i="38"/>
  <c r="B51" i="38"/>
  <c r="B50" i="38"/>
  <c r="B49" i="38"/>
  <c r="B48" i="38"/>
  <c r="B47" i="38"/>
  <c r="B46" i="38"/>
  <c r="B41" i="38"/>
  <c r="B36" i="38"/>
  <c r="B29" i="38"/>
  <c r="B27" i="38"/>
  <c r="B25" i="38"/>
  <c r="B24" i="38"/>
  <c r="F14" i="38"/>
  <c r="E14" i="38"/>
  <c r="C14" i="38"/>
  <c r="B14" i="38"/>
  <c r="D7" i="38"/>
  <c r="C7" i="38"/>
  <c r="B7" i="38"/>
  <c r="J332" i="37"/>
  <c r="I332" i="37"/>
  <c r="H332" i="37"/>
  <c r="G332" i="37"/>
  <c r="F332" i="37"/>
  <c r="E332" i="37"/>
  <c r="D332" i="37"/>
  <c r="C332" i="37"/>
  <c r="B332" i="37"/>
  <c r="E319" i="37"/>
  <c r="D319" i="37"/>
  <c r="C319" i="37"/>
  <c r="B319" i="37"/>
  <c r="E318" i="37"/>
  <c r="D318" i="37"/>
  <c r="C318" i="37"/>
  <c r="B318" i="37"/>
  <c r="E317" i="37"/>
  <c r="D317" i="37"/>
  <c r="C317" i="37"/>
  <c r="B317" i="37"/>
  <c r="E316" i="37"/>
  <c r="D316" i="37"/>
  <c r="C316" i="37"/>
  <c r="B316" i="37"/>
  <c r="E315" i="37"/>
  <c r="D315" i="37"/>
  <c r="C315" i="37"/>
  <c r="B315" i="37"/>
  <c r="E314" i="37"/>
  <c r="D314" i="37"/>
  <c r="C314" i="37"/>
  <c r="B314" i="37"/>
  <c r="E313" i="37"/>
  <c r="D313" i="37"/>
  <c r="C313" i="37"/>
  <c r="B313" i="37"/>
  <c r="E312" i="37"/>
  <c r="D312" i="37"/>
  <c r="C312" i="37"/>
  <c r="B312" i="37"/>
  <c r="E311" i="37"/>
  <c r="D311" i="37"/>
  <c r="C311" i="37"/>
  <c r="B311" i="37"/>
  <c r="D304" i="37"/>
  <c r="C304" i="37"/>
  <c r="B304" i="37"/>
  <c r="D297" i="37"/>
  <c r="C297" i="37"/>
  <c r="B297" i="37"/>
  <c r="D290" i="37"/>
  <c r="C290" i="37"/>
  <c r="B290" i="37"/>
  <c r="D289" i="37"/>
  <c r="C289" i="37"/>
  <c r="B289" i="37"/>
  <c r="D288" i="37"/>
  <c r="C288" i="37"/>
  <c r="B288" i="37"/>
  <c r="D287" i="37"/>
  <c r="C287" i="37"/>
  <c r="B287" i="37"/>
  <c r="D282" i="37"/>
  <c r="C282" i="37"/>
  <c r="B282" i="37"/>
  <c r="D281" i="37"/>
  <c r="C281" i="37"/>
  <c r="B281" i="37"/>
  <c r="D280" i="37"/>
  <c r="C280" i="37"/>
  <c r="B280" i="37"/>
  <c r="D279" i="37"/>
  <c r="C279" i="37"/>
  <c r="B279" i="37"/>
  <c r="D278" i="37"/>
  <c r="C278" i="37"/>
  <c r="B278" i="37"/>
  <c r="E260" i="37"/>
  <c r="D260" i="37"/>
  <c r="C260" i="37"/>
  <c r="B260" i="37"/>
  <c r="G259" i="37"/>
  <c r="F259" i="37"/>
  <c r="E259" i="37"/>
  <c r="D259" i="37"/>
  <c r="C259" i="37"/>
  <c r="B259" i="37"/>
  <c r="H258" i="37"/>
  <c r="G258" i="37"/>
  <c r="F258" i="37"/>
  <c r="E258" i="37"/>
  <c r="D258" i="37"/>
  <c r="C258" i="37"/>
  <c r="B258" i="37"/>
  <c r="I257" i="37"/>
  <c r="H257" i="37"/>
  <c r="G257" i="37"/>
  <c r="F257" i="37"/>
  <c r="E257" i="37"/>
  <c r="D257" i="37"/>
  <c r="C257" i="37"/>
  <c r="B257" i="37"/>
  <c r="E249" i="37"/>
  <c r="D249" i="37"/>
  <c r="C249" i="37"/>
  <c r="B249" i="37"/>
  <c r="B244" i="37"/>
  <c r="C134" i="37"/>
  <c r="B134" i="37"/>
  <c r="B133" i="37"/>
  <c r="C132" i="37"/>
  <c r="B132" i="37"/>
  <c r="B131" i="37"/>
  <c r="C130" i="37"/>
  <c r="B130" i="37"/>
  <c r="B129" i="37"/>
  <c r="C128" i="37"/>
  <c r="B128" i="37"/>
  <c r="B127" i="37"/>
  <c r="C126" i="37"/>
  <c r="B126" i="37"/>
  <c r="B125" i="37"/>
  <c r="C124" i="37"/>
  <c r="B124" i="37"/>
  <c r="B123" i="37"/>
  <c r="C122" i="37"/>
  <c r="B122" i="37"/>
  <c r="C120" i="37"/>
  <c r="B120" i="37"/>
  <c r="C119" i="37"/>
  <c r="C118" i="37"/>
  <c r="C117" i="37"/>
  <c r="B117" i="37"/>
  <c r="B116" i="37"/>
  <c r="F110" i="37"/>
  <c r="E110" i="37"/>
  <c r="D110" i="37"/>
  <c r="C110" i="37"/>
  <c r="H104" i="37"/>
  <c r="G104" i="37"/>
  <c r="F104" i="37"/>
  <c r="E104" i="37"/>
  <c r="D104" i="37"/>
  <c r="C104" i="37"/>
  <c r="B104" i="37"/>
  <c r="F63" i="37"/>
  <c r="E63" i="37"/>
  <c r="D63" i="37"/>
  <c r="C63" i="37"/>
  <c r="B63" i="37"/>
  <c r="I58" i="37"/>
  <c r="H58" i="37"/>
  <c r="G58" i="37"/>
  <c r="F58" i="37"/>
  <c r="E58" i="37"/>
  <c r="D58" i="37"/>
  <c r="C58" i="37"/>
  <c r="B58" i="37"/>
  <c r="B53" i="37"/>
  <c r="B52" i="37"/>
  <c r="B51" i="37"/>
  <c r="B50" i="37"/>
  <c r="B49" i="37"/>
  <c r="B48" i="37"/>
  <c r="B47" i="37"/>
  <c r="B46" i="37"/>
  <c r="B41" i="37"/>
  <c r="B36" i="37"/>
  <c r="B29" i="37"/>
  <c r="B27" i="37"/>
  <c r="B25" i="37"/>
  <c r="B24" i="37"/>
  <c r="F14" i="37"/>
  <c r="E14" i="37"/>
  <c r="C14" i="37"/>
  <c r="B14" i="37"/>
  <c r="D7" i="37"/>
  <c r="C7" i="37"/>
  <c r="B7" i="37"/>
  <c r="J332" i="36"/>
  <c r="I332" i="36"/>
  <c r="H332" i="36"/>
  <c r="G332" i="36"/>
  <c r="F332" i="36"/>
  <c r="E332" i="36"/>
  <c r="D332" i="36"/>
  <c r="C332" i="36"/>
  <c r="B332" i="36"/>
  <c r="E319" i="36"/>
  <c r="D319" i="36"/>
  <c r="C319" i="36"/>
  <c r="B319" i="36"/>
  <c r="E318" i="36"/>
  <c r="D318" i="36"/>
  <c r="C318" i="36"/>
  <c r="B318" i="36"/>
  <c r="E317" i="36"/>
  <c r="D317" i="36"/>
  <c r="C317" i="36"/>
  <c r="B317" i="36"/>
  <c r="E316" i="36"/>
  <c r="D316" i="36"/>
  <c r="C316" i="36"/>
  <c r="B316" i="36"/>
  <c r="E315" i="36"/>
  <c r="D315" i="36"/>
  <c r="C315" i="36"/>
  <c r="B315" i="36"/>
  <c r="E314" i="36"/>
  <c r="D314" i="36"/>
  <c r="C314" i="36"/>
  <c r="B314" i="36"/>
  <c r="E313" i="36"/>
  <c r="D313" i="36"/>
  <c r="C313" i="36"/>
  <c r="B313" i="36"/>
  <c r="E312" i="36"/>
  <c r="D312" i="36"/>
  <c r="C312" i="36"/>
  <c r="B312" i="36"/>
  <c r="E311" i="36"/>
  <c r="D311" i="36"/>
  <c r="C311" i="36"/>
  <c r="B311" i="36"/>
  <c r="D304" i="36"/>
  <c r="C304" i="36"/>
  <c r="B304" i="36"/>
  <c r="D297" i="36"/>
  <c r="C297" i="36"/>
  <c r="B297" i="36"/>
  <c r="D290" i="36"/>
  <c r="C290" i="36"/>
  <c r="B290" i="36"/>
  <c r="D289" i="36"/>
  <c r="C289" i="36"/>
  <c r="B289" i="36"/>
  <c r="D288" i="36"/>
  <c r="C288" i="36"/>
  <c r="B288" i="36"/>
  <c r="D287" i="36"/>
  <c r="C287" i="36"/>
  <c r="B287" i="36"/>
  <c r="D282" i="36"/>
  <c r="C282" i="36"/>
  <c r="B282" i="36"/>
  <c r="D281" i="36"/>
  <c r="C281" i="36"/>
  <c r="B281" i="36"/>
  <c r="D280" i="36"/>
  <c r="C280" i="36"/>
  <c r="B280" i="36"/>
  <c r="D279" i="36"/>
  <c r="C279" i="36"/>
  <c r="B279" i="36"/>
  <c r="D278" i="36"/>
  <c r="C278" i="36"/>
  <c r="B278" i="36"/>
  <c r="E260" i="36"/>
  <c r="D260" i="36"/>
  <c r="C260" i="36"/>
  <c r="B260" i="36"/>
  <c r="G259" i="36"/>
  <c r="F259" i="36"/>
  <c r="E259" i="36"/>
  <c r="D259" i="36"/>
  <c r="C259" i="36"/>
  <c r="B259" i="36"/>
  <c r="H258" i="36"/>
  <c r="G258" i="36"/>
  <c r="F258" i="36"/>
  <c r="E258" i="36"/>
  <c r="D258" i="36"/>
  <c r="C258" i="36"/>
  <c r="B258" i="36"/>
  <c r="I257" i="36"/>
  <c r="H257" i="36"/>
  <c r="G257" i="36"/>
  <c r="F257" i="36"/>
  <c r="E257" i="36"/>
  <c r="D257" i="36"/>
  <c r="C257" i="36"/>
  <c r="B257" i="36"/>
  <c r="E249" i="36"/>
  <c r="D249" i="36"/>
  <c r="C249" i="36"/>
  <c r="B249" i="36"/>
  <c r="B244" i="36"/>
  <c r="C134" i="36"/>
  <c r="B134" i="36"/>
  <c r="C133" i="36"/>
  <c r="B133" i="36"/>
  <c r="C132" i="36"/>
  <c r="B132" i="36"/>
  <c r="C131" i="36"/>
  <c r="B131" i="36"/>
  <c r="C130" i="36"/>
  <c r="B130" i="36"/>
  <c r="C129" i="36"/>
  <c r="B129" i="36"/>
  <c r="C128" i="36"/>
  <c r="B128" i="36"/>
  <c r="C127" i="36"/>
  <c r="B127" i="36"/>
  <c r="C126" i="36"/>
  <c r="B126" i="36"/>
  <c r="C125" i="36"/>
  <c r="B125" i="36"/>
  <c r="C124" i="36"/>
  <c r="B124" i="36"/>
  <c r="C123" i="36"/>
  <c r="B123" i="36"/>
  <c r="C122" i="36"/>
  <c r="B122" i="36"/>
  <c r="C121" i="36"/>
  <c r="C120" i="36"/>
  <c r="B120" i="36"/>
  <c r="C119" i="36"/>
  <c r="B119" i="36"/>
  <c r="C118" i="36"/>
  <c r="C117" i="36"/>
  <c r="B117" i="36"/>
  <c r="C116" i="36"/>
  <c r="B116" i="36"/>
  <c r="F110" i="36"/>
  <c r="E110" i="36"/>
  <c r="D110" i="36"/>
  <c r="C110" i="36"/>
  <c r="H104" i="36"/>
  <c r="G104" i="36"/>
  <c r="F104" i="36"/>
  <c r="E104" i="36"/>
  <c r="D104" i="36"/>
  <c r="C104" i="36"/>
  <c r="B104" i="36"/>
  <c r="F63" i="36"/>
  <c r="E63" i="36"/>
  <c r="D63" i="36"/>
  <c r="C63" i="36"/>
  <c r="B63" i="36"/>
  <c r="I58" i="36"/>
  <c r="H58" i="36"/>
  <c r="G58" i="36"/>
  <c r="F58" i="36"/>
  <c r="E58" i="36"/>
  <c r="D58" i="36"/>
  <c r="C58" i="36"/>
  <c r="B58" i="36"/>
  <c r="B53" i="36"/>
  <c r="B52" i="36"/>
  <c r="B51" i="36"/>
  <c r="B50" i="36"/>
  <c r="B49" i="36"/>
  <c r="B48" i="36"/>
  <c r="B47" i="36"/>
  <c r="B46" i="36"/>
  <c r="B41" i="36"/>
  <c r="B36" i="36"/>
  <c r="B29" i="36"/>
  <c r="B27" i="36"/>
  <c r="B25" i="36"/>
  <c r="B24" i="36"/>
  <c r="F14" i="36"/>
  <c r="E14" i="36"/>
  <c r="C14" i="36"/>
  <c r="B14" i="36"/>
  <c r="D7" i="36"/>
  <c r="C7" i="36"/>
  <c r="B7" i="36"/>
  <c r="J332" i="35"/>
  <c r="I332" i="35"/>
  <c r="H332" i="35"/>
  <c r="G332" i="35"/>
  <c r="F332" i="35"/>
  <c r="E332" i="35"/>
  <c r="D332" i="35"/>
  <c r="C332" i="35"/>
  <c r="B332" i="35"/>
  <c r="E319" i="35"/>
  <c r="D319" i="35"/>
  <c r="C319" i="35"/>
  <c r="B319" i="35"/>
  <c r="E318" i="35"/>
  <c r="D318" i="35"/>
  <c r="C318" i="35"/>
  <c r="B318" i="35"/>
  <c r="E317" i="35"/>
  <c r="D317" i="35"/>
  <c r="C317" i="35"/>
  <c r="B317" i="35"/>
  <c r="E316" i="35"/>
  <c r="D316" i="35"/>
  <c r="C316" i="35"/>
  <c r="B316" i="35"/>
  <c r="E315" i="35"/>
  <c r="D315" i="35"/>
  <c r="C315" i="35"/>
  <c r="B315" i="35"/>
  <c r="E314" i="35"/>
  <c r="D314" i="35"/>
  <c r="C314" i="35"/>
  <c r="B314" i="35"/>
  <c r="E313" i="35"/>
  <c r="D313" i="35"/>
  <c r="C313" i="35"/>
  <c r="B313" i="35"/>
  <c r="E312" i="35"/>
  <c r="D312" i="35"/>
  <c r="C312" i="35"/>
  <c r="B312" i="35"/>
  <c r="E311" i="35"/>
  <c r="D311" i="35"/>
  <c r="C311" i="35"/>
  <c r="B311" i="35"/>
  <c r="D304" i="35"/>
  <c r="C304" i="35"/>
  <c r="B304" i="35"/>
  <c r="D297" i="35"/>
  <c r="C297" i="35"/>
  <c r="B297" i="35"/>
  <c r="D290" i="35"/>
  <c r="C290" i="35"/>
  <c r="B290" i="35"/>
  <c r="D289" i="35"/>
  <c r="C289" i="35"/>
  <c r="B289" i="35"/>
  <c r="D288" i="35"/>
  <c r="C288" i="35"/>
  <c r="B288" i="35"/>
  <c r="D287" i="35"/>
  <c r="C287" i="35"/>
  <c r="B287" i="35"/>
  <c r="D282" i="35"/>
  <c r="C282" i="35"/>
  <c r="B282" i="35"/>
  <c r="D281" i="35"/>
  <c r="C281" i="35"/>
  <c r="B281" i="35"/>
  <c r="D280" i="35"/>
  <c r="C280" i="35"/>
  <c r="B280" i="35"/>
  <c r="D279" i="35"/>
  <c r="C279" i="35"/>
  <c r="B279" i="35"/>
  <c r="D278" i="35"/>
  <c r="C278" i="35"/>
  <c r="B278" i="35"/>
  <c r="E260" i="35"/>
  <c r="D260" i="35"/>
  <c r="C260" i="35"/>
  <c r="B260" i="35"/>
  <c r="G259" i="35"/>
  <c r="F259" i="35"/>
  <c r="E259" i="35"/>
  <c r="D259" i="35"/>
  <c r="C259" i="35"/>
  <c r="B259" i="35"/>
  <c r="H258" i="35"/>
  <c r="G258" i="35"/>
  <c r="F258" i="35"/>
  <c r="E258" i="35"/>
  <c r="D258" i="35"/>
  <c r="C258" i="35"/>
  <c r="B258" i="35"/>
  <c r="I257" i="35"/>
  <c r="H257" i="35"/>
  <c r="G257" i="35"/>
  <c r="F257" i="35"/>
  <c r="E257" i="35"/>
  <c r="D257" i="35"/>
  <c r="C257" i="35"/>
  <c r="B257" i="35"/>
  <c r="E249" i="35"/>
  <c r="D249" i="35"/>
  <c r="C249" i="35"/>
  <c r="B249" i="35"/>
  <c r="B244" i="35"/>
  <c r="C134" i="35"/>
  <c r="B134" i="35"/>
  <c r="C133" i="35"/>
  <c r="B133" i="35"/>
  <c r="C132" i="35"/>
  <c r="B132" i="35"/>
  <c r="C131" i="35"/>
  <c r="B131" i="35"/>
  <c r="C130" i="35"/>
  <c r="B130" i="35"/>
  <c r="C129" i="35"/>
  <c r="B129" i="35"/>
  <c r="C128" i="35"/>
  <c r="B128" i="35"/>
  <c r="C127" i="35"/>
  <c r="B127" i="35"/>
  <c r="C126" i="35"/>
  <c r="B126" i="35"/>
  <c r="C125" i="35"/>
  <c r="B125" i="35"/>
  <c r="C124" i="35"/>
  <c r="B124" i="35"/>
  <c r="C123" i="35"/>
  <c r="B123" i="35"/>
  <c r="C122" i="35"/>
  <c r="B122" i="35"/>
  <c r="C121" i="35"/>
  <c r="C120" i="35"/>
  <c r="B120" i="35"/>
  <c r="C119" i="35"/>
  <c r="B119" i="35"/>
  <c r="C118" i="35"/>
  <c r="C117" i="35"/>
  <c r="B117" i="35"/>
  <c r="C116" i="35"/>
  <c r="B116" i="35"/>
  <c r="F110" i="35"/>
  <c r="E110" i="35"/>
  <c r="D110" i="35"/>
  <c r="C110" i="35"/>
  <c r="H104" i="35"/>
  <c r="G104" i="35"/>
  <c r="F104" i="35"/>
  <c r="E104" i="35"/>
  <c r="D104" i="35"/>
  <c r="C104" i="35"/>
  <c r="B104" i="35"/>
  <c r="F63" i="35"/>
  <c r="E63" i="35"/>
  <c r="D63" i="35"/>
  <c r="C63" i="35"/>
  <c r="B63" i="35"/>
  <c r="I58" i="35"/>
  <c r="H58" i="35"/>
  <c r="G58" i="35"/>
  <c r="F58" i="35"/>
  <c r="E58" i="35"/>
  <c r="D58" i="35"/>
  <c r="C58" i="35"/>
  <c r="B58" i="35"/>
  <c r="B53" i="35"/>
  <c r="B52" i="35"/>
  <c r="B51" i="35"/>
  <c r="B50" i="35"/>
  <c r="B49" i="35"/>
  <c r="B48" i="35"/>
  <c r="B47" i="35"/>
  <c r="B46" i="35"/>
  <c r="B41" i="35"/>
  <c r="B36" i="35"/>
  <c r="B29" i="35"/>
  <c r="B27" i="35"/>
  <c r="B25" i="35"/>
  <c r="B24" i="35"/>
  <c r="F14" i="35"/>
  <c r="E14" i="35"/>
  <c r="C14" i="35"/>
  <c r="B14" i="35"/>
  <c r="D7" i="35"/>
  <c r="C7" i="35"/>
  <c r="B7" i="35"/>
  <c r="J332" i="34"/>
  <c r="I332" i="34"/>
  <c r="H332" i="34"/>
  <c r="G332" i="34"/>
  <c r="F332" i="34"/>
  <c r="E332" i="34"/>
  <c r="D332" i="34"/>
  <c r="C332" i="34"/>
  <c r="B332" i="34"/>
  <c r="E319" i="34"/>
  <c r="D319" i="34"/>
  <c r="C319" i="34"/>
  <c r="B319" i="34"/>
  <c r="E318" i="34"/>
  <c r="D318" i="34"/>
  <c r="C318" i="34"/>
  <c r="B318" i="34"/>
  <c r="E317" i="34"/>
  <c r="D317" i="34"/>
  <c r="C317" i="34"/>
  <c r="B317" i="34"/>
  <c r="E316" i="34"/>
  <c r="D316" i="34"/>
  <c r="C316" i="34"/>
  <c r="B316" i="34"/>
  <c r="E315" i="34"/>
  <c r="D315" i="34"/>
  <c r="C315" i="34"/>
  <c r="B315" i="34"/>
  <c r="E314" i="34"/>
  <c r="D314" i="34"/>
  <c r="C314" i="34"/>
  <c r="B314" i="34"/>
  <c r="E313" i="34"/>
  <c r="D313" i="34"/>
  <c r="C313" i="34"/>
  <c r="B313" i="34"/>
  <c r="E312" i="34"/>
  <c r="D312" i="34"/>
  <c r="C312" i="34"/>
  <c r="B312" i="34"/>
  <c r="E311" i="34"/>
  <c r="D311" i="34"/>
  <c r="C311" i="34"/>
  <c r="B311" i="34"/>
  <c r="D304" i="34"/>
  <c r="C304" i="34"/>
  <c r="B304" i="34"/>
  <c r="D297" i="34"/>
  <c r="C297" i="34"/>
  <c r="B297" i="34"/>
  <c r="D290" i="34"/>
  <c r="C290" i="34"/>
  <c r="B290" i="34"/>
  <c r="D289" i="34"/>
  <c r="C289" i="34"/>
  <c r="B289" i="34"/>
  <c r="D288" i="34"/>
  <c r="C288" i="34"/>
  <c r="B288" i="34"/>
  <c r="D287" i="34"/>
  <c r="C287" i="34"/>
  <c r="B287" i="34"/>
  <c r="D282" i="34"/>
  <c r="C282" i="34"/>
  <c r="B282" i="34"/>
  <c r="D281" i="34"/>
  <c r="C281" i="34"/>
  <c r="B281" i="34"/>
  <c r="D280" i="34"/>
  <c r="C280" i="34"/>
  <c r="B280" i="34"/>
  <c r="D279" i="34"/>
  <c r="C279" i="34"/>
  <c r="B279" i="34"/>
  <c r="D278" i="34"/>
  <c r="C278" i="34"/>
  <c r="B278" i="34"/>
  <c r="E260" i="34"/>
  <c r="D260" i="34"/>
  <c r="C260" i="34"/>
  <c r="B260" i="34"/>
  <c r="G259" i="34"/>
  <c r="F259" i="34"/>
  <c r="E259" i="34"/>
  <c r="D259" i="34"/>
  <c r="C259" i="34"/>
  <c r="B259" i="34"/>
  <c r="H258" i="34"/>
  <c r="G258" i="34"/>
  <c r="F258" i="34"/>
  <c r="E258" i="34"/>
  <c r="D258" i="34"/>
  <c r="C258" i="34"/>
  <c r="B258" i="34"/>
  <c r="I257" i="34"/>
  <c r="H257" i="34"/>
  <c r="G257" i="34"/>
  <c r="F257" i="34"/>
  <c r="E257" i="34"/>
  <c r="D257" i="34"/>
  <c r="C257" i="34"/>
  <c r="B257" i="34"/>
  <c r="E249" i="34"/>
  <c r="D249" i="34"/>
  <c r="C249" i="34"/>
  <c r="B249" i="34"/>
  <c r="B244" i="34"/>
  <c r="C134" i="34"/>
  <c r="B134" i="34"/>
  <c r="C133" i="34"/>
  <c r="B133" i="34"/>
  <c r="C132" i="34"/>
  <c r="B132" i="34"/>
  <c r="C131" i="34"/>
  <c r="B131" i="34"/>
  <c r="C130" i="34"/>
  <c r="B130" i="34"/>
  <c r="C129" i="34"/>
  <c r="B129" i="34"/>
  <c r="C128" i="34"/>
  <c r="B128" i="34"/>
  <c r="C127" i="34"/>
  <c r="B127" i="34"/>
  <c r="C126" i="34"/>
  <c r="B126" i="34"/>
  <c r="C125" i="34"/>
  <c r="B125" i="34"/>
  <c r="C124" i="34"/>
  <c r="B124" i="34"/>
  <c r="C123" i="34"/>
  <c r="B123" i="34"/>
  <c r="C122" i="34"/>
  <c r="B122" i="34"/>
  <c r="C121" i="34"/>
  <c r="C120" i="34"/>
  <c r="B120" i="34"/>
  <c r="C119" i="34"/>
  <c r="B119" i="34"/>
  <c r="C118" i="34"/>
  <c r="C117" i="34"/>
  <c r="B117" i="34"/>
  <c r="C116" i="34"/>
  <c r="B116" i="34"/>
  <c r="F110" i="34"/>
  <c r="E110" i="34"/>
  <c r="D110" i="34"/>
  <c r="C110" i="34"/>
  <c r="H104" i="34"/>
  <c r="G104" i="34"/>
  <c r="F104" i="34"/>
  <c r="E104" i="34"/>
  <c r="D104" i="34"/>
  <c r="C104" i="34"/>
  <c r="B104" i="34"/>
  <c r="F63" i="34"/>
  <c r="E63" i="34"/>
  <c r="D63" i="34"/>
  <c r="C63" i="34"/>
  <c r="B63" i="34"/>
  <c r="I58" i="34"/>
  <c r="H58" i="34"/>
  <c r="G58" i="34"/>
  <c r="F58" i="34"/>
  <c r="E58" i="34"/>
  <c r="D58" i="34"/>
  <c r="C58" i="34"/>
  <c r="B58" i="34"/>
  <c r="B53" i="34"/>
  <c r="B52" i="34"/>
  <c r="B51" i="34"/>
  <c r="B50" i="34"/>
  <c r="B49" i="34"/>
  <c r="B48" i="34"/>
  <c r="B47" i="34"/>
  <c r="B46" i="34"/>
  <c r="B41" i="34"/>
  <c r="B36" i="34"/>
  <c r="B29" i="34"/>
  <c r="B27" i="34"/>
  <c r="B25" i="34"/>
  <c r="B24" i="34"/>
  <c r="F14" i="34"/>
  <c r="E14" i="34"/>
  <c r="C14" i="34"/>
  <c r="B14" i="34"/>
  <c r="D7" i="34"/>
  <c r="C7" i="34"/>
  <c r="B7" i="34"/>
  <c r="B83" i="41"/>
  <c r="B86" i="41"/>
  <c r="C66" i="35"/>
  <c r="D66" i="35"/>
  <c r="C66" i="36"/>
  <c r="D66" i="36"/>
  <c r="E66" i="36" s="1"/>
  <c r="C66" i="37"/>
  <c r="D66" i="37"/>
  <c r="C66" i="38"/>
  <c r="D66" i="38"/>
  <c r="E66" i="38" s="1"/>
  <c r="C66" i="34"/>
  <c r="D66" i="34"/>
  <c r="D83" i="34" s="1"/>
  <c r="C83" i="34"/>
  <c r="B83" i="34"/>
  <c r="C82" i="34"/>
  <c r="B82" i="34"/>
  <c r="C81" i="34"/>
  <c r="B81" i="34"/>
  <c r="C80" i="34"/>
  <c r="B80" i="34"/>
  <c r="C79" i="34"/>
  <c r="B79" i="34"/>
  <c r="C78" i="34"/>
  <c r="B78" i="34"/>
  <c r="C77" i="34"/>
  <c r="B77" i="34"/>
  <c r="C76" i="34"/>
  <c r="B76" i="34"/>
  <c r="C75" i="34"/>
  <c r="B75" i="34"/>
  <c r="C74" i="34"/>
  <c r="B74" i="34"/>
  <c r="C73" i="34"/>
  <c r="B73" i="34"/>
  <c r="C72" i="34"/>
  <c r="B72" i="34"/>
  <c r="C71" i="34"/>
  <c r="B71" i="34"/>
  <c r="C70" i="34"/>
  <c r="B70" i="34"/>
  <c r="C69" i="34"/>
  <c r="B69" i="34"/>
  <c r="C68" i="34"/>
  <c r="R17" i="31"/>
  <c r="Z17" i="31" s="1"/>
  <c r="AH17" i="31" s="1"/>
  <c r="AP17" i="31" s="1"/>
  <c r="Q17" i="31"/>
  <c r="Y17" i="31"/>
  <c r="AG17" i="31" s="1"/>
  <c r="AO17" i="31" s="1"/>
  <c r="P17" i="31"/>
  <c r="X17" i="31" s="1"/>
  <c r="AF17" i="31" s="1"/>
  <c r="AN17" i="31" s="1"/>
  <c r="O17" i="31"/>
  <c r="W17" i="31"/>
  <c r="AE17" i="31" s="1"/>
  <c r="AM17" i="31" s="1"/>
  <c r="N17" i="31"/>
  <c r="V17" i="31" s="1"/>
  <c r="AD17" i="31" s="1"/>
  <c r="AL17" i="31" s="1"/>
  <c r="M17" i="31"/>
  <c r="U17" i="31"/>
  <c r="AC17" i="31" s="1"/>
  <c r="AK17" i="31" s="1"/>
  <c r="L17" i="31"/>
  <c r="C78" i="35" s="1"/>
  <c r="K17" i="31"/>
  <c r="B78" i="35" s="1"/>
  <c r="S17" i="31"/>
  <c r="B78" i="36" s="1"/>
  <c r="R16" i="31"/>
  <c r="Z16" i="31" s="1"/>
  <c r="AH16" i="31" s="1"/>
  <c r="AP16" i="31" s="1"/>
  <c r="Q16" i="31"/>
  <c r="Y16" i="31"/>
  <c r="AG16" i="31" s="1"/>
  <c r="AO16" i="31" s="1"/>
  <c r="P16" i="31"/>
  <c r="X16" i="31" s="1"/>
  <c r="AF16" i="31" s="1"/>
  <c r="AN16" i="31" s="1"/>
  <c r="O16" i="31"/>
  <c r="W16" i="31"/>
  <c r="AE16" i="31" s="1"/>
  <c r="AM16" i="31" s="1"/>
  <c r="N16" i="31"/>
  <c r="V16" i="31" s="1"/>
  <c r="AD16" i="31" s="1"/>
  <c r="AL16" i="31" s="1"/>
  <c r="M16" i="31"/>
  <c r="U16" i="31"/>
  <c r="AC16" i="31" s="1"/>
  <c r="AK16" i="31" s="1"/>
  <c r="L16" i="31"/>
  <c r="C77" i="35" s="1"/>
  <c r="K16" i="31"/>
  <c r="B77" i="35" s="1"/>
  <c r="S16" i="31"/>
  <c r="B77" i="36" s="1"/>
  <c r="R15" i="31"/>
  <c r="Z15" i="31" s="1"/>
  <c r="AH15" i="31" s="1"/>
  <c r="AP15" i="31" s="1"/>
  <c r="Q15" i="31"/>
  <c r="Y15" i="31"/>
  <c r="AG15" i="31" s="1"/>
  <c r="AO15" i="31" s="1"/>
  <c r="P15" i="31"/>
  <c r="X15" i="31" s="1"/>
  <c r="AF15" i="31" s="1"/>
  <c r="AN15" i="31" s="1"/>
  <c r="O15" i="31"/>
  <c r="W15" i="31"/>
  <c r="AE15" i="31" s="1"/>
  <c r="AM15" i="31" s="1"/>
  <c r="N15" i="31"/>
  <c r="V15" i="31" s="1"/>
  <c r="AD15" i="31" s="1"/>
  <c r="AL15" i="31" s="1"/>
  <c r="M15" i="31"/>
  <c r="U15" i="31"/>
  <c r="AC15" i="31" s="1"/>
  <c r="AK15" i="31" s="1"/>
  <c r="L15" i="31"/>
  <c r="C76" i="35" s="1"/>
  <c r="K15" i="31"/>
  <c r="B76" i="35" s="1"/>
  <c r="S15" i="31"/>
  <c r="B76" i="36" s="1"/>
  <c r="R14" i="31"/>
  <c r="Z14" i="31" s="1"/>
  <c r="AH14" i="31" s="1"/>
  <c r="AP14" i="31" s="1"/>
  <c r="Q14" i="31"/>
  <c r="Y14" i="31"/>
  <c r="AG14" i="31" s="1"/>
  <c r="AO14" i="31" s="1"/>
  <c r="P14" i="31"/>
  <c r="X14" i="31" s="1"/>
  <c r="AF14" i="31" s="1"/>
  <c r="AN14" i="31" s="1"/>
  <c r="O14" i="31"/>
  <c r="W14" i="31"/>
  <c r="AE14" i="31" s="1"/>
  <c r="AM14" i="31" s="1"/>
  <c r="N14" i="31"/>
  <c r="V14" i="31" s="1"/>
  <c r="AD14" i="31" s="1"/>
  <c r="AL14" i="31" s="1"/>
  <c r="M14" i="31"/>
  <c r="U14" i="31"/>
  <c r="AC14" i="31" s="1"/>
  <c r="AK14" i="31" s="1"/>
  <c r="L14" i="31"/>
  <c r="C75" i="35" s="1"/>
  <c r="K14" i="31"/>
  <c r="B75" i="35" s="1"/>
  <c r="S14" i="31"/>
  <c r="B75" i="36" s="1"/>
  <c r="R13" i="31"/>
  <c r="Z13" i="31" s="1"/>
  <c r="AH13" i="31" s="1"/>
  <c r="AP13" i="31" s="1"/>
  <c r="Q13" i="31"/>
  <c r="Y13" i="31"/>
  <c r="AG13" i="31" s="1"/>
  <c r="AO13" i="31" s="1"/>
  <c r="P13" i="31"/>
  <c r="X13" i="31" s="1"/>
  <c r="AF13" i="31" s="1"/>
  <c r="AN13" i="31" s="1"/>
  <c r="O13" i="31"/>
  <c r="W13" i="31"/>
  <c r="AE13" i="31" s="1"/>
  <c r="AM13" i="31" s="1"/>
  <c r="N13" i="31"/>
  <c r="V13" i="31" s="1"/>
  <c r="AD13" i="31" s="1"/>
  <c r="AL13" i="31" s="1"/>
  <c r="M13" i="31"/>
  <c r="U13" i="31"/>
  <c r="AC13" i="31" s="1"/>
  <c r="AK13" i="31" s="1"/>
  <c r="L13" i="31"/>
  <c r="C74" i="35" s="1"/>
  <c r="K13" i="31"/>
  <c r="B74" i="35" s="1"/>
  <c r="S13" i="31"/>
  <c r="B74" i="36" s="1"/>
  <c r="R12" i="31"/>
  <c r="Z12" i="31" s="1"/>
  <c r="AH12" i="31" s="1"/>
  <c r="AP12" i="31" s="1"/>
  <c r="Q12" i="31"/>
  <c r="Y12" i="31"/>
  <c r="AG12" i="31" s="1"/>
  <c r="AO12" i="31" s="1"/>
  <c r="P12" i="31"/>
  <c r="X12" i="31" s="1"/>
  <c r="AF12" i="31" s="1"/>
  <c r="AN12" i="31" s="1"/>
  <c r="O12" i="31"/>
  <c r="W12" i="31"/>
  <c r="AE12" i="31" s="1"/>
  <c r="AM12" i="31" s="1"/>
  <c r="N12" i="31"/>
  <c r="V12" i="31" s="1"/>
  <c r="AD12" i="31" s="1"/>
  <c r="AL12" i="31" s="1"/>
  <c r="M12" i="31"/>
  <c r="U12" i="31"/>
  <c r="AC12" i="31" s="1"/>
  <c r="AK12" i="31" s="1"/>
  <c r="L12" i="31"/>
  <c r="C73" i="35" s="1"/>
  <c r="K12" i="31"/>
  <c r="B73" i="35" s="1"/>
  <c r="S12" i="31"/>
  <c r="B73" i="36" s="1"/>
  <c r="R11" i="31"/>
  <c r="Z11" i="31" s="1"/>
  <c r="AH11" i="31" s="1"/>
  <c r="AP11" i="31" s="1"/>
  <c r="Q11" i="31"/>
  <c r="Y11" i="31"/>
  <c r="AG11" i="31" s="1"/>
  <c r="AO11" i="31" s="1"/>
  <c r="P11" i="31"/>
  <c r="X11" i="31" s="1"/>
  <c r="AF11" i="31" s="1"/>
  <c r="AN11" i="31" s="1"/>
  <c r="O11" i="31"/>
  <c r="W11" i="31"/>
  <c r="AE11" i="31" s="1"/>
  <c r="AM11" i="31" s="1"/>
  <c r="N11" i="31"/>
  <c r="V11" i="31" s="1"/>
  <c r="AD11" i="31" s="1"/>
  <c r="AL11" i="31" s="1"/>
  <c r="M11" i="31"/>
  <c r="U11" i="31"/>
  <c r="AC11" i="31" s="1"/>
  <c r="AK11" i="31" s="1"/>
  <c r="L11" i="31"/>
  <c r="C72" i="35" s="1"/>
  <c r="K11" i="31"/>
  <c r="B72" i="35" s="1"/>
  <c r="S11" i="31"/>
  <c r="B72" i="36" s="1"/>
  <c r="A1" i="47"/>
  <c r="A334" i="47"/>
  <c r="I347" i="47"/>
  <c r="I348" i="47"/>
  <c r="I349" i="47"/>
  <c r="I350" i="47"/>
  <c r="I351" i="47"/>
  <c r="I352" i="47"/>
  <c r="B575" i="47" s="1"/>
  <c r="I353" i="47"/>
  <c r="I354" i="47"/>
  <c r="I355" i="47"/>
  <c r="I356" i="47"/>
  <c r="I357" i="47"/>
  <c r="I358" i="47"/>
  <c r="I359" i="47"/>
  <c r="I360" i="47"/>
  <c r="I361" i="47"/>
  <c r="I362" i="47"/>
  <c r="I363" i="47"/>
  <c r="I364" i="47"/>
  <c r="I365" i="47"/>
  <c r="I366" i="47"/>
  <c r="I367" i="47"/>
  <c r="I368" i="47"/>
  <c r="I369" i="47"/>
  <c r="I370" i="47"/>
  <c r="I371" i="47"/>
  <c r="I372" i="47"/>
  <c r="I373" i="47"/>
  <c r="B394" i="47"/>
  <c r="B395" i="47"/>
  <c r="B396" i="47"/>
  <c r="B397" i="47"/>
  <c r="B398" i="47"/>
  <c r="B399" i="47"/>
  <c r="B400" i="47"/>
  <c r="B401" i="47"/>
  <c r="C410" i="47"/>
  <c r="D410" i="47"/>
  <c r="E410" i="47"/>
  <c r="F410" i="47"/>
  <c r="G410" i="47"/>
  <c r="H410" i="47"/>
  <c r="I410" i="47"/>
  <c r="J410" i="47"/>
  <c r="B452" i="47"/>
  <c r="D483" i="47" s="1"/>
  <c r="D499" i="47" s="1"/>
  <c r="D535" i="47" s="1"/>
  <c r="B460" i="47"/>
  <c r="B468" i="47"/>
  <c r="F485" i="47" s="1"/>
  <c r="E484" i="47"/>
  <c r="E501" i="47" s="1"/>
  <c r="F486" i="47"/>
  <c r="G498" i="47" s="1"/>
  <c r="B498" i="47"/>
  <c r="C498" i="47"/>
  <c r="E498" i="47"/>
  <c r="E534" i="47" s="1"/>
  <c r="H498" i="47"/>
  <c r="I498" i="47"/>
  <c r="I534" i="47" s="1"/>
  <c r="J498" i="47"/>
  <c r="B499" i="47"/>
  <c r="C499" i="47"/>
  <c r="H499" i="47"/>
  <c r="H535" i="47" s="1"/>
  <c r="I499" i="47"/>
  <c r="J499" i="47"/>
  <c r="B500" i="47"/>
  <c r="C500" i="47"/>
  <c r="C536" i="47" s="1"/>
  <c r="H500" i="47"/>
  <c r="I500" i="47"/>
  <c r="J500" i="47"/>
  <c r="B501" i="47"/>
  <c r="B537" i="47" s="1"/>
  <c r="C501" i="47"/>
  <c r="H501" i="47"/>
  <c r="I501" i="47"/>
  <c r="J501" i="47"/>
  <c r="J537" i="47" s="1"/>
  <c r="B502" i="47"/>
  <c r="C502" i="47"/>
  <c r="H502" i="47"/>
  <c r="I502" i="47"/>
  <c r="I538" i="47" s="1"/>
  <c r="J502" i="47"/>
  <c r="B503" i="47"/>
  <c r="C503" i="47"/>
  <c r="H503" i="47"/>
  <c r="H539" i="47" s="1"/>
  <c r="I503" i="47"/>
  <c r="J503" i="47"/>
  <c r="B504" i="47"/>
  <c r="C504" i="47"/>
  <c r="C540" i="47" s="1"/>
  <c r="H504" i="47"/>
  <c r="I504" i="47"/>
  <c r="J504" i="47"/>
  <c r="B505" i="47"/>
  <c r="B541" i="47" s="1"/>
  <c r="C505" i="47"/>
  <c r="H505" i="47"/>
  <c r="I505" i="47"/>
  <c r="J505" i="47"/>
  <c r="J541" i="47" s="1"/>
  <c r="B506" i="47"/>
  <c r="C506" i="47"/>
  <c r="H506" i="47"/>
  <c r="I506" i="47"/>
  <c r="I542" i="47" s="1"/>
  <c r="J506" i="47"/>
  <c r="B507" i="47"/>
  <c r="B543" i="47" s="1"/>
  <c r="C507" i="47"/>
  <c r="H507" i="47"/>
  <c r="H543" i="47" s="1"/>
  <c r="I507" i="47"/>
  <c r="J507" i="47"/>
  <c r="B508" i="47"/>
  <c r="C508" i="47"/>
  <c r="C544" i="47" s="1"/>
  <c r="H508" i="47"/>
  <c r="I508" i="47"/>
  <c r="I544" i="47" s="1"/>
  <c r="J508" i="47"/>
  <c r="B509" i="47"/>
  <c r="B545" i="47" s="1"/>
  <c r="C509" i="47"/>
  <c r="H509" i="47"/>
  <c r="I509" i="47"/>
  <c r="J509" i="47"/>
  <c r="J545" i="47" s="1"/>
  <c r="B510" i="47"/>
  <c r="C510" i="47"/>
  <c r="H510" i="47"/>
  <c r="I510" i="47"/>
  <c r="I546" i="47" s="1"/>
  <c r="J510" i="47"/>
  <c r="B511" i="47"/>
  <c r="C511" i="47"/>
  <c r="D511" i="47"/>
  <c r="D547" i="47" s="1"/>
  <c r="F511" i="47"/>
  <c r="F547" i="47" s="1"/>
  <c r="F583" i="47" s="1"/>
  <c r="H511" i="47"/>
  <c r="H547" i="47" s="1"/>
  <c r="I511" i="47"/>
  <c r="J511" i="47"/>
  <c r="B512" i="47"/>
  <c r="C512" i="47"/>
  <c r="C548" i="47" s="1"/>
  <c r="H512" i="47"/>
  <c r="I512" i="47"/>
  <c r="J512" i="47"/>
  <c r="B513" i="47"/>
  <c r="B549" i="47" s="1"/>
  <c r="C513" i="47"/>
  <c r="D513" i="47"/>
  <c r="H513" i="47"/>
  <c r="I513" i="47"/>
  <c r="J513" i="47"/>
  <c r="J549" i="47" s="1"/>
  <c r="B514" i="47"/>
  <c r="C514" i="47"/>
  <c r="C550" i="47" s="1"/>
  <c r="E514" i="47"/>
  <c r="E550" i="47" s="1"/>
  <c r="H514" i="47"/>
  <c r="I514" i="47"/>
  <c r="I550" i="47" s="1"/>
  <c r="J514" i="47"/>
  <c r="B515" i="47"/>
  <c r="C515" i="47"/>
  <c r="E515" i="47"/>
  <c r="E551" i="47" s="1"/>
  <c r="E587" i="47" s="1"/>
  <c r="H515" i="47"/>
  <c r="H551" i="47" s="1"/>
  <c r="I515" i="47"/>
  <c r="J515" i="47"/>
  <c r="J551" i="47" s="1"/>
  <c r="J587" i="47" s="1"/>
  <c r="B516" i="47"/>
  <c r="C516" i="47"/>
  <c r="C552" i="47" s="1"/>
  <c r="H516" i="47"/>
  <c r="I516" i="47"/>
  <c r="J516" i="47"/>
  <c r="B517" i="47"/>
  <c r="B553" i="47" s="1"/>
  <c r="C517" i="47"/>
  <c r="F517" i="47"/>
  <c r="F553" i="47" s="1"/>
  <c r="F589" i="47" s="1"/>
  <c r="H517" i="47"/>
  <c r="H553" i="47" s="1"/>
  <c r="H589" i="47" s="1"/>
  <c r="I517" i="47"/>
  <c r="J517" i="47"/>
  <c r="J553" i="47" s="1"/>
  <c r="B518" i="47"/>
  <c r="C518" i="47"/>
  <c r="E518" i="47"/>
  <c r="E554" i="47" s="1"/>
  <c r="H518" i="47"/>
  <c r="I518" i="47"/>
  <c r="I554" i="47" s="1"/>
  <c r="J518" i="47"/>
  <c r="B519" i="47"/>
  <c r="C519" i="47"/>
  <c r="D519" i="47"/>
  <c r="D555" i="47" s="1"/>
  <c r="E519" i="47"/>
  <c r="E555" i="47" s="1"/>
  <c r="H519" i="47"/>
  <c r="H555" i="47" s="1"/>
  <c r="I519" i="47"/>
  <c r="J519" i="47"/>
  <c r="B520" i="47"/>
  <c r="C520" i="47"/>
  <c r="C556" i="47" s="1"/>
  <c r="E520" i="47"/>
  <c r="E556" i="47" s="1"/>
  <c r="E592" i="47" s="1"/>
  <c r="G520" i="47"/>
  <c r="G556" i="47" s="1"/>
  <c r="H520" i="47"/>
  <c r="I520" i="47"/>
  <c r="J520" i="47"/>
  <c r="B521" i="47"/>
  <c r="B557" i="47" s="1"/>
  <c r="C521" i="47"/>
  <c r="D521" i="47"/>
  <c r="D557" i="47" s="1"/>
  <c r="D593" i="47" s="1"/>
  <c r="F521" i="47"/>
  <c r="F557" i="47" s="1"/>
  <c r="F593" i="47" s="1"/>
  <c r="G521" i="47"/>
  <c r="G557" i="47" s="1"/>
  <c r="G593" i="47" s="1"/>
  <c r="H521" i="47"/>
  <c r="I521" i="47"/>
  <c r="J521" i="47"/>
  <c r="J557" i="47" s="1"/>
  <c r="B522" i="47"/>
  <c r="C522" i="47"/>
  <c r="G522" i="47"/>
  <c r="H522" i="47"/>
  <c r="I522" i="47"/>
  <c r="I558" i="47" s="1"/>
  <c r="J522" i="47"/>
  <c r="B523" i="47"/>
  <c r="B559" i="47" s="1"/>
  <c r="B595" i="47" s="1"/>
  <c r="C523" i="47"/>
  <c r="D523" i="47"/>
  <c r="D559" i="47" s="1"/>
  <c r="E523" i="47"/>
  <c r="E559" i="47" s="1"/>
  <c r="F523" i="47"/>
  <c r="H523" i="47"/>
  <c r="H559" i="47" s="1"/>
  <c r="I523" i="47"/>
  <c r="J523" i="47"/>
  <c r="B524" i="47"/>
  <c r="C524" i="47"/>
  <c r="C560" i="47" s="1"/>
  <c r="D524" i="47"/>
  <c r="D560" i="47" s="1"/>
  <c r="D596" i="47" s="1"/>
  <c r="E524" i="47"/>
  <c r="E560" i="47" s="1"/>
  <c r="G524" i="47"/>
  <c r="G560" i="47" s="1"/>
  <c r="G596" i="47" s="1"/>
  <c r="H524" i="47"/>
  <c r="I524" i="47"/>
  <c r="I560" i="47" s="1"/>
  <c r="J524" i="47"/>
  <c r="B534" i="47"/>
  <c r="B570" i="47" s="1"/>
  <c r="C534" i="47"/>
  <c r="G534" i="47"/>
  <c r="G570" i="47" s="1"/>
  <c r="H534" i="47"/>
  <c r="J534" i="47"/>
  <c r="J570" i="47" s="1"/>
  <c r="B535" i="47"/>
  <c r="C535" i="47"/>
  <c r="I535" i="47"/>
  <c r="J535" i="47"/>
  <c r="B536" i="47"/>
  <c r="H536" i="47"/>
  <c r="H572" i="47" s="1"/>
  <c r="I536" i="47"/>
  <c r="J536" i="47"/>
  <c r="C537" i="47"/>
  <c r="C573" i="47" s="1"/>
  <c r="E537" i="47"/>
  <c r="H537" i="47"/>
  <c r="I537" i="47"/>
  <c r="B538" i="47"/>
  <c r="B574" i="47" s="1"/>
  <c r="C538" i="47"/>
  <c r="H538" i="47"/>
  <c r="J538" i="47"/>
  <c r="J574" i="47" s="1"/>
  <c r="B539" i="47"/>
  <c r="C539" i="47"/>
  <c r="I539" i="47"/>
  <c r="J539" i="47"/>
  <c r="B540" i="47"/>
  <c r="H540" i="47"/>
  <c r="H576" i="47" s="1"/>
  <c r="I540" i="47"/>
  <c r="J540" i="47"/>
  <c r="J576" i="47" s="1"/>
  <c r="C541" i="47"/>
  <c r="C577" i="47" s="1"/>
  <c r="H541" i="47"/>
  <c r="I541" i="47"/>
  <c r="B542" i="47"/>
  <c r="B578" i="47" s="1"/>
  <c r="C542" i="47"/>
  <c r="C578" i="47" s="1"/>
  <c r="H542" i="47"/>
  <c r="H578" i="47" s="1"/>
  <c r="J542" i="47"/>
  <c r="J578" i="47" s="1"/>
  <c r="C543" i="47"/>
  <c r="I543" i="47"/>
  <c r="J543" i="47"/>
  <c r="B544" i="47"/>
  <c r="H544" i="47"/>
  <c r="J544" i="47"/>
  <c r="C545" i="47"/>
  <c r="H545" i="47"/>
  <c r="H581" i="47" s="1"/>
  <c r="I545" i="47"/>
  <c r="B546" i="47"/>
  <c r="C546" i="47"/>
  <c r="C582" i="47" s="1"/>
  <c r="H546" i="47"/>
  <c r="J546" i="47"/>
  <c r="B547" i="47"/>
  <c r="C547" i="47"/>
  <c r="I547" i="47"/>
  <c r="J547" i="47"/>
  <c r="B548" i="47"/>
  <c r="H548" i="47"/>
  <c r="I548" i="47"/>
  <c r="J548" i="47"/>
  <c r="C549" i="47"/>
  <c r="D549" i="47"/>
  <c r="D585" i="47" s="1"/>
  <c r="H549" i="47"/>
  <c r="H585" i="47" s="1"/>
  <c r="I549" i="47"/>
  <c r="B550" i="47"/>
  <c r="H550" i="47"/>
  <c r="J550" i="47"/>
  <c r="B551" i="47"/>
  <c r="C551" i="47"/>
  <c r="I551" i="47"/>
  <c r="B552" i="47"/>
  <c r="H552" i="47"/>
  <c r="I552" i="47"/>
  <c r="J552" i="47"/>
  <c r="C553" i="47"/>
  <c r="I553" i="47"/>
  <c r="B554" i="47"/>
  <c r="C554" i="47"/>
  <c r="C590" i="47" s="1"/>
  <c r="H554" i="47"/>
  <c r="J554" i="47"/>
  <c r="B555" i="47"/>
  <c r="C555" i="47"/>
  <c r="I555" i="47"/>
  <c r="J555" i="47"/>
  <c r="B556" i="47"/>
  <c r="H556" i="47"/>
  <c r="I556" i="47"/>
  <c r="J556" i="47"/>
  <c r="C557" i="47"/>
  <c r="H557" i="47"/>
  <c r="H593" i="47" s="1"/>
  <c r="I557" i="47"/>
  <c r="B558" i="47"/>
  <c r="C558" i="47"/>
  <c r="C594" i="47" s="1"/>
  <c r="G558" i="47"/>
  <c r="G594" i="47" s="1"/>
  <c r="H558" i="47"/>
  <c r="J558" i="47"/>
  <c r="C559" i="47"/>
  <c r="F559" i="47"/>
  <c r="F595" i="47" s="1"/>
  <c r="I559" i="47"/>
  <c r="J559" i="47"/>
  <c r="B560" i="47"/>
  <c r="H560" i="47"/>
  <c r="J560" i="47"/>
  <c r="C570" i="47"/>
  <c r="H570" i="47"/>
  <c r="J571" i="47"/>
  <c r="B572" i="47"/>
  <c r="J572" i="47"/>
  <c r="B573" i="47"/>
  <c r="H573" i="47"/>
  <c r="J573" i="47"/>
  <c r="C574" i="47"/>
  <c r="H574" i="47"/>
  <c r="J575" i="47"/>
  <c r="B576" i="47"/>
  <c r="C576" i="47"/>
  <c r="B577" i="47"/>
  <c r="H577" i="47"/>
  <c r="J577" i="47"/>
  <c r="I578" i="47"/>
  <c r="B580" i="47"/>
  <c r="C580" i="47"/>
  <c r="H580" i="47"/>
  <c r="J580" i="47"/>
  <c r="B581" i="47"/>
  <c r="C581" i="47"/>
  <c r="J581" i="47"/>
  <c r="B582" i="47"/>
  <c r="H582" i="47"/>
  <c r="J582" i="47"/>
  <c r="C583" i="47"/>
  <c r="B584" i="47"/>
  <c r="C584" i="47"/>
  <c r="H584" i="47"/>
  <c r="J584" i="47"/>
  <c r="B585" i="47"/>
  <c r="C585" i="47"/>
  <c r="J585" i="47"/>
  <c r="B586" i="47"/>
  <c r="H586" i="47"/>
  <c r="J586" i="47"/>
  <c r="B588" i="47"/>
  <c r="C588" i="47"/>
  <c r="H588" i="47"/>
  <c r="J588" i="47"/>
  <c r="B589" i="47"/>
  <c r="B2785" i="47" s="1"/>
  <c r="B3217" i="47" s="1"/>
  <c r="C589" i="47"/>
  <c r="J589" i="47"/>
  <c r="B590" i="47"/>
  <c r="H590" i="47"/>
  <c r="J590" i="47"/>
  <c r="H591" i="47"/>
  <c r="B592" i="47"/>
  <c r="C592" i="47"/>
  <c r="G592" i="47"/>
  <c r="H592" i="47"/>
  <c r="J592" i="47"/>
  <c r="B593" i="47"/>
  <c r="C593" i="47"/>
  <c r="J593" i="47"/>
  <c r="B594" i="47"/>
  <c r="B2790" i="47" s="1"/>
  <c r="H594" i="47"/>
  <c r="J594" i="47"/>
  <c r="C595" i="47"/>
  <c r="B596" i="47"/>
  <c r="B2792" i="47" s="1"/>
  <c r="C596" i="47"/>
  <c r="H596" i="47"/>
  <c r="J596" i="47"/>
  <c r="A598" i="47"/>
  <c r="B609" i="47"/>
  <c r="C841" i="47" s="1"/>
  <c r="C618" i="47"/>
  <c r="D618" i="47"/>
  <c r="B630" i="47" s="1"/>
  <c r="C631" i="47" s="1"/>
  <c r="E618" i="47"/>
  <c r="B631" i="47" s="1"/>
  <c r="C632" i="47" s="1"/>
  <c r="F618" i="47"/>
  <c r="B632" i="47" s="1"/>
  <c r="C633" i="47" s="1"/>
  <c r="G618" i="47"/>
  <c r="H618" i="47"/>
  <c r="B634" i="47" s="1"/>
  <c r="C635" i="47" s="1"/>
  <c r="I618" i="47"/>
  <c r="B635" i="47" s="1"/>
  <c r="B628" i="47"/>
  <c r="B629" i="47"/>
  <c r="C629" i="47"/>
  <c r="C630" i="47"/>
  <c r="B633" i="47"/>
  <c r="C634" i="47" s="1"/>
  <c r="C645" i="47"/>
  <c r="D645" i="47" s="1"/>
  <c r="B646" i="47"/>
  <c r="B647" i="47" s="1"/>
  <c r="C646" i="47"/>
  <c r="D646" i="47" s="1"/>
  <c r="C696" i="47"/>
  <c r="D697" i="47"/>
  <c r="E698" i="47"/>
  <c r="F698" i="47"/>
  <c r="A736" i="47"/>
  <c r="B746" i="47"/>
  <c r="B801" i="47" s="1"/>
  <c r="B747" i="47"/>
  <c r="B748" i="47"/>
  <c r="B804" i="47" s="1"/>
  <c r="B749" i="47"/>
  <c r="B805" i="47" s="1"/>
  <c r="B845" i="47" s="1"/>
  <c r="K3316" i="47" s="1"/>
  <c r="B750" i="47"/>
  <c r="B807" i="47" s="1"/>
  <c r="B751" i="47"/>
  <c r="B808" i="47" s="1"/>
  <c r="B752" i="47"/>
  <c r="B810" i="47" s="1"/>
  <c r="B753" i="47"/>
  <c r="B811" i="47" s="1"/>
  <c r="B851" i="47" s="1"/>
  <c r="K3322" i="47" s="1"/>
  <c r="B754" i="47"/>
  <c r="B812" i="47" s="1"/>
  <c r="B755" i="47"/>
  <c r="B813" i="47" s="1"/>
  <c r="B756" i="47"/>
  <c r="B820" i="47" s="1"/>
  <c r="B757" i="47"/>
  <c r="B821" i="47" s="1"/>
  <c r="B758" i="47"/>
  <c r="B822" i="47" s="1"/>
  <c r="B759" i="47"/>
  <c r="B823" i="47" s="1"/>
  <c r="B760" i="47"/>
  <c r="B824" i="47" s="1"/>
  <c r="B864" i="47" s="1"/>
  <c r="B761" i="47"/>
  <c r="B825" i="47" s="1"/>
  <c r="B865" i="47" s="1"/>
  <c r="K3336" i="47" s="1"/>
  <c r="B770" i="47"/>
  <c r="B789" i="47"/>
  <c r="C809" i="47" s="1"/>
  <c r="B790" i="47"/>
  <c r="C814" i="47" s="1"/>
  <c r="C854" i="47" s="1"/>
  <c r="B791" i="47"/>
  <c r="C826" i="47" s="1"/>
  <c r="C866" i="47" s="1"/>
  <c r="L3337" i="47" s="1"/>
  <c r="B792" i="47"/>
  <c r="C827" i="47" s="1"/>
  <c r="B802" i="47"/>
  <c r="C842" i="47"/>
  <c r="C846" i="47"/>
  <c r="C848" i="47"/>
  <c r="C850" i="47"/>
  <c r="B855" i="47"/>
  <c r="B857" i="47"/>
  <c r="C858" i="47"/>
  <c r="C862" i="47"/>
  <c r="C864" i="47"/>
  <c r="C865" i="47"/>
  <c r="L3336" i="47" s="1"/>
  <c r="A869" i="47"/>
  <c r="B887" i="47"/>
  <c r="B914" i="47" s="1"/>
  <c r="B888" i="47"/>
  <c r="B915" i="47" s="1"/>
  <c r="B889" i="47"/>
  <c r="B916" i="47" s="1"/>
  <c r="B890" i="47"/>
  <c r="B917" i="47" s="1"/>
  <c r="B891" i="47"/>
  <c r="B918" i="47" s="1"/>
  <c r="B892" i="47"/>
  <c r="B919" i="47" s="1"/>
  <c r="B893" i="47"/>
  <c r="B920" i="47" s="1"/>
  <c r="B2772" i="47" s="1"/>
  <c r="B2929" i="47" s="1"/>
  <c r="B894" i="47"/>
  <c r="B921" i="47" s="1"/>
  <c r="B895" i="47"/>
  <c r="B922" i="47" s="1"/>
  <c r="B896" i="47"/>
  <c r="B923" i="47" s="1"/>
  <c r="B897" i="47"/>
  <c r="B924" i="47" s="1"/>
  <c r="B898" i="47"/>
  <c r="B925" i="47" s="1"/>
  <c r="B899" i="47"/>
  <c r="B926" i="47" s="1"/>
  <c r="B900" i="47"/>
  <c r="B927" i="47" s="1"/>
  <c r="B901" i="47"/>
  <c r="B928" i="47" s="1"/>
  <c r="B2780" i="47" s="1"/>
  <c r="B2937" i="47" s="1"/>
  <c r="B902" i="47"/>
  <c r="B929" i="47" s="1"/>
  <c r="B903" i="47"/>
  <c r="B930" i="47" s="1"/>
  <c r="B904" i="47"/>
  <c r="B931" i="47" s="1"/>
  <c r="B905" i="47"/>
  <c r="B932" i="47" s="1"/>
  <c r="B1061" i="47"/>
  <c r="D1061" i="47" s="1"/>
  <c r="B1062" i="47"/>
  <c r="D1062" i="47" s="1"/>
  <c r="B1063" i="47"/>
  <c r="D1063" i="47" s="1"/>
  <c r="B1065" i="47"/>
  <c r="B1066" i="47"/>
  <c r="D1066" i="47" s="1"/>
  <c r="B1067" i="47"/>
  <c r="C1067" i="47" s="1"/>
  <c r="G1067" i="47" s="1"/>
  <c r="B1069" i="47"/>
  <c r="D1069" i="47" s="1"/>
  <c r="B1070" i="47"/>
  <c r="B1071" i="47"/>
  <c r="D1071" i="47" s="1"/>
  <c r="B1073" i="47"/>
  <c r="D1073" i="47" s="1"/>
  <c r="B1074" i="47"/>
  <c r="D1074" i="47" s="1"/>
  <c r="B1075" i="47"/>
  <c r="B1077" i="47"/>
  <c r="D1077" i="47" s="1"/>
  <c r="B1078" i="47"/>
  <c r="D1078" i="47" s="1"/>
  <c r="B1079" i="47"/>
  <c r="C1079" i="47" s="1"/>
  <c r="G1079" i="47" s="1"/>
  <c r="B1081" i="47"/>
  <c r="B1082" i="47"/>
  <c r="C1082" i="47" s="1"/>
  <c r="G1082" i="47" s="1"/>
  <c r="B1083" i="47"/>
  <c r="D1083" i="47" s="1"/>
  <c r="B1085" i="47"/>
  <c r="C1085" i="47" s="1"/>
  <c r="G1085" i="47" s="1"/>
  <c r="B1086" i="47"/>
  <c r="B1087" i="47"/>
  <c r="C1087" i="47" s="1"/>
  <c r="G1087" i="47" s="1"/>
  <c r="B1089" i="47"/>
  <c r="D1089" i="47" s="1"/>
  <c r="B1177" i="47" s="1"/>
  <c r="B1091" i="47"/>
  <c r="C1091" i="47" s="1"/>
  <c r="G1091" i="47" s="1"/>
  <c r="E1178" i="47" s="1"/>
  <c r="B1093" i="47"/>
  <c r="B1094" i="47"/>
  <c r="C1094" i="47" s="1"/>
  <c r="G1094" i="47" s="1"/>
  <c r="B1095" i="47"/>
  <c r="D1095" i="47" s="1"/>
  <c r="B1097" i="47"/>
  <c r="C1097" i="47" s="1"/>
  <c r="G1097" i="47" s="1"/>
  <c r="B1098" i="47"/>
  <c r="B1099" i="47"/>
  <c r="C1099" i="47" s="1"/>
  <c r="G1099" i="47" s="1"/>
  <c r="B1101" i="47"/>
  <c r="D1101" i="47" s="1"/>
  <c r="B1102" i="47"/>
  <c r="C1102" i="47" s="1"/>
  <c r="G1102" i="47" s="1"/>
  <c r="B1103" i="47"/>
  <c r="D1103" i="47" s="1"/>
  <c r="B1105" i="47"/>
  <c r="C1105" i="47" s="1"/>
  <c r="G1105" i="47" s="1"/>
  <c r="B1106" i="47"/>
  <c r="D1106" i="47" s="1"/>
  <c r="B1108" i="47"/>
  <c r="C1108" i="47" s="1"/>
  <c r="G1108" i="47" s="1"/>
  <c r="B1109" i="47"/>
  <c r="D1109" i="47" s="1"/>
  <c r="B1111" i="47"/>
  <c r="C1111" i="47" s="1"/>
  <c r="G1111" i="47" s="1"/>
  <c r="B1112" i="47"/>
  <c r="D1112" i="47" s="1"/>
  <c r="B1113" i="47"/>
  <c r="C1113" i="47" s="1"/>
  <c r="G1113" i="47" s="1"/>
  <c r="B1115" i="47"/>
  <c r="B1116" i="47"/>
  <c r="C1116" i="47" s="1"/>
  <c r="G1116" i="47" s="1"/>
  <c r="B1117" i="47"/>
  <c r="D1117" i="47" s="1"/>
  <c r="B1119" i="47"/>
  <c r="C1119" i="47" s="1"/>
  <c r="G1119" i="47" s="1"/>
  <c r="B1120" i="47"/>
  <c r="B1121" i="47"/>
  <c r="C1121" i="47" s="1"/>
  <c r="G1121" i="47" s="1"/>
  <c r="B1123" i="47"/>
  <c r="D1123" i="47" s="1"/>
  <c r="B1124" i="47"/>
  <c r="C1124" i="47" s="1"/>
  <c r="G1124" i="47" s="1"/>
  <c r="B1125" i="47"/>
  <c r="B1127" i="47"/>
  <c r="C1127" i="47" s="1"/>
  <c r="G1127" i="47" s="1"/>
  <c r="B1128" i="47"/>
  <c r="D1128" i="47" s="1"/>
  <c r="B1129" i="47"/>
  <c r="C1129" i="47" s="1"/>
  <c r="G1129" i="47" s="1"/>
  <c r="B1131" i="47"/>
  <c r="B1132" i="47"/>
  <c r="F1132" i="47" s="1"/>
  <c r="G1132" i="47"/>
  <c r="B1133" i="47"/>
  <c r="E1133" i="47" s="1"/>
  <c r="G1133" i="47"/>
  <c r="B1135" i="47"/>
  <c r="C1135" i="47" s="1"/>
  <c r="G1135" i="47" s="1"/>
  <c r="B1136" i="47"/>
  <c r="F1136" i="47" s="1"/>
  <c r="G1136" i="47"/>
  <c r="B1138" i="47"/>
  <c r="B1139" i="47"/>
  <c r="D1139" i="47" s="1"/>
  <c r="G1139" i="47"/>
  <c r="B1140" i="47"/>
  <c r="F1140" i="47" s="1"/>
  <c r="G1140" i="47"/>
  <c r="B1142" i="47"/>
  <c r="C1142" i="47" s="1"/>
  <c r="G1142" i="47" s="1"/>
  <c r="B1143" i="47"/>
  <c r="D1143" i="47" s="1"/>
  <c r="G1143" i="47"/>
  <c r="B1144" i="47"/>
  <c r="G1144" i="47"/>
  <c r="B1146" i="47"/>
  <c r="C1146" i="47" s="1"/>
  <c r="G1146" i="47" s="1"/>
  <c r="B1147" i="47"/>
  <c r="D1147" i="47" s="1"/>
  <c r="G1147" i="47"/>
  <c r="B1149" i="47"/>
  <c r="C1149" i="47" s="1"/>
  <c r="G1149" i="47" s="1"/>
  <c r="B1150" i="47"/>
  <c r="F1150" i="47" s="1"/>
  <c r="G1150" i="47"/>
  <c r="B1152" i="47"/>
  <c r="B1153" i="47"/>
  <c r="D1153" i="47" s="1"/>
  <c r="G1153" i="47"/>
  <c r="B1155" i="47"/>
  <c r="C1155" i="47" s="1"/>
  <c r="G1155" i="47" s="1"/>
  <c r="B1156" i="47"/>
  <c r="G1156" i="47"/>
  <c r="A1198" i="47"/>
  <c r="B1210" i="47"/>
  <c r="E1210" i="47" s="1"/>
  <c r="B1223" i="47"/>
  <c r="E1223" i="47" s="1"/>
  <c r="D1240" i="47" s="1"/>
  <c r="D1531" i="47" s="1"/>
  <c r="B1224" i="47"/>
  <c r="B1225" i="47"/>
  <c r="B1226" i="47"/>
  <c r="E1226" i="47" s="1"/>
  <c r="D1243" i="47" s="1"/>
  <c r="D1532" i="47" s="1"/>
  <c r="B1227" i="47"/>
  <c r="E1227" i="47" s="1"/>
  <c r="D1244" i="47" s="1"/>
  <c r="B1228" i="47"/>
  <c r="E1228" i="47" s="1"/>
  <c r="B1229" i="47"/>
  <c r="B1230" i="47"/>
  <c r="E1230" i="47" s="1"/>
  <c r="D1247" i="47" s="1"/>
  <c r="B1231" i="47"/>
  <c r="E1231" i="47" s="1"/>
  <c r="D1248" i="47" s="1"/>
  <c r="D1245" i="47"/>
  <c r="D1514" i="47" s="1"/>
  <c r="B1269" i="47"/>
  <c r="E1269" i="47" s="1"/>
  <c r="D1282" i="47" s="1"/>
  <c r="B1270" i="47"/>
  <c r="E1270" i="47" s="1"/>
  <c r="D1283" i="47" s="1"/>
  <c r="B1271" i="47"/>
  <c r="E1271" i="47" s="1"/>
  <c r="D1284" i="47" s="1"/>
  <c r="B1272" i="47"/>
  <c r="E1272" i="47" s="1"/>
  <c r="D1285" i="47" s="1"/>
  <c r="B1273" i="47"/>
  <c r="E1273" i="47" s="1"/>
  <c r="D1286" i="47" s="1"/>
  <c r="C1429" i="47"/>
  <c r="C1430" i="47"/>
  <c r="C1431" i="47"/>
  <c r="B1444" i="47"/>
  <c r="E1444" i="47" s="1"/>
  <c r="E1460" i="47" s="1"/>
  <c r="B1445" i="47"/>
  <c r="C1445" i="47" s="1"/>
  <c r="G1460" i="47" s="1"/>
  <c r="B1446" i="47"/>
  <c r="C1446" i="47" s="1"/>
  <c r="K1460" i="47" s="1"/>
  <c r="B1447" i="47"/>
  <c r="B1448" i="47"/>
  <c r="E1448" i="47" s="1"/>
  <c r="U1460" i="47" s="1"/>
  <c r="B1449" i="47"/>
  <c r="E1449" i="47" s="1"/>
  <c r="Y1460" i="47" s="1"/>
  <c r="B1450" i="47"/>
  <c r="E1450" i="47" s="1"/>
  <c r="AC1460" i="47" s="1"/>
  <c r="B1451" i="47"/>
  <c r="B1452" i="47"/>
  <c r="E1452" i="47" s="1"/>
  <c r="AK1460" i="47" s="1"/>
  <c r="AK1486" i="47" s="1"/>
  <c r="AK1758" i="47" s="1"/>
  <c r="B1601" i="47"/>
  <c r="B1833" i="47"/>
  <c r="E1833" i="47" s="1"/>
  <c r="B1846" i="47"/>
  <c r="E1846" i="47" s="1"/>
  <c r="D1858" i="47" s="1"/>
  <c r="B1847" i="47"/>
  <c r="E1847" i="47" s="1"/>
  <c r="D1859" i="47" s="1"/>
  <c r="B1848" i="47"/>
  <c r="E1848" i="47" s="1"/>
  <c r="D1860" i="47" s="1"/>
  <c r="B1849" i="47"/>
  <c r="E1849" i="47" s="1"/>
  <c r="D1861" i="47" s="1"/>
  <c r="A2101" i="47"/>
  <c r="A2243" i="47"/>
  <c r="K2255" i="47"/>
  <c r="K2256" i="47"/>
  <c r="C2284" i="47" s="1"/>
  <c r="K2257" i="47"/>
  <c r="C2285" i="47" s="1"/>
  <c r="K2258" i="47"/>
  <c r="C2286" i="47" s="1"/>
  <c r="K2259" i="47"/>
  <c r="C2287" i="47" s="1"/>
  <c r="K2260" i="47"/>
  <c r="C2288" i="47" s="1"/>
  <c r="K2261" i="47"/>
  <c r="C2289" i="47" s="1"/>
  <c r="K2262" i="47"/>
  <c r="C2290" i="47" s="1"/>
  <c r="K2263" i="47"/>
  <c r="C2291" i="47" s="1"/>
  <c r="K2264" i="47"/>
  <c r="C2292" i="47" s="1"/>
  <c r="K2265" i="47"/>
  <c r="C2293" i="47" s="1"/>
  <c r="K2266" i="47"/>
  <c r="C2294" i="47" s="1"/>
  <c r="K2267" i="47"/>
  <c r="C2295" i="47" s="1"/>
  <c r="K2268" i="47"/>
  <c r="K2269" i="47"/>
  <c r="C2297" i="47" s="1"/>
  <c r="K2270" i="47"/>
  <c r="C2298" i="47" s="1"/>
  <c r="K2271" i="47"/>
  <c r="C2299" i="47" s="1"/>
  <c r="K2272" i="47"/>
  <c r="C2300" i="47" s="1"/>
  <c r="K2273" i="47"/>
  <c r="C2301" i="47" s="1"/>
  <c r="B2283" i="47"/>
  <c r="C2283" i="47"/>
  <c r="D2283" i="47"/>
  <c r="E2283" i="47"/>
  <c r="F2283" i="47"/>
  <c r="H2283" i="47"/>
  <c r="I2283" i="47"/>
  <c r="J2283" i="47"/>
  <c r="B2284" i="47"/>
  <c r="D2284" i="47"/>
  <c r="E2284" i="47"/>
  <c r="F2284" i="47"/>
  <c r="H2284" i="47"/>
  <c r="I2284" i="47"/>
  <c r="J2284" i="47"/>
  <c r="B2285" i="47"/>
  <c r="D2285" i="47"/>
  <c r="E2285" i="47"/>
  <c r="F2285" i="47"/>
  <c r="H2285" i="47"/>
  <c r="I2285" i="47"/>
  <c r="J2285" i="47"/>
  <c r="B2286" i="47"/>
  <c r="D2286" i="47"/>
  <c r="E2286" i="47"/>
  <c r="F2286" i="47"/>
  <c r="H2286" i="47"/>
  <c r="I2286" i="47"/>
  <c r="J2286" i="47"/>
  <c r="B2287" i="47"/>
  <c r="D2287" i="47"/>
  <c r="E2287" i="47"/>
  <c r="F2287" i="47"/>
  <c r="H2287" i="47"/>
  <c r="I2287" i="47"/>
  <c r="J2287" i="47"/>
  <c r="B2288" i="47"/>
  <c r="D2288" i="47"/>
  <c r="E2288" i="47"/>
  <c r="F2288" i="47"/>
  <c r="H2288" i="47"/>
  <c r="I2288" i="47"/>
  <c r="J2288" i="47"/>
  <c r="B2289" i="47"/>
  <c r="D2289" i="47"/>
  <c r="E2289" i="47"/>
  <c r="F2289" i="47"/>
  <c r="H2289" i="47"/>
  <c r="I2289" i="47"/>
  <c r="J2289" i="47"/>
  <c r="B2290" i="47"/>
  <c r="D2290" i="47"/>
  <c r="E2290" i="47"/>
  <c r="F2290" i="47"/>
  <c r="H2290" i="47"/>
  <c r="I2290" i="47"/>
  <c r="J2290" i="47"/>
  <c r="B2291" i="47"/>
  <c r="D2291" i="47"/>
  <c r="E2291" i="47"/>
  <c r="F2291" i="47"/>
  <c r="H2291" i="47"/>
  <c r="I2291" i="47"/>
  <c r="J2291" i="47"/>
  <c r="B2292" i="47"/>
  <c r="D2292" i="47"/>
  <c r="E2292" i="47"/>
  <c r="F2292" i="47"/>
  <c r="H2292" i="47"/>
  <c r="I2292" i="47"/>
  <c r="J2292" i="47"/>
  <c r="B2293" i="47"/>
  <c r="D2293" i="47"/>
  <c r="E2293" i="47"/>
  <c r="F2293" i="47"/>
  <c r="H2293" i="47"/>
  <c r="I2293" i="47"/>
  <c r="J2293" i="47"/>
  <c r="B2294" i="47"/>
  <c r="D2294" i="47"/>
  <c r="E2294" i="47"/>
  <c r="F2294" i="47"/>
  <c r="H2294" i="47"/>
  <c r="I2294" i="47"/>
  <c r="J2294" i="47"/>
  <c r="B2295" i="47"/>
  <c r="D2295" i="47"/>
  <c r="E2295" i="47"/>
  <c r="F2295" i="47"/>
  <c r="H2295" i="47"/>
  <c r="I2295" i="47"/>
  <c r="J2295" i="47"/>
  <c r="B2296" i="47"/>
  <c r="C2296" i="47"/>
  <c r="D2296" i="47"/>
  <c r="E2296" i="47"/>
  <c r="F2296" i="47"/>
  <c r="H2296" i="47"/>
  <c r="I2296" i="47"/>
  <c r="J2296" i="47"/>
  <c r="B2297" i="47"/>
  <c r="D2297" i="47"/>
  <c r="E2297" i="47"/>
  <c r="F2297" i="47"/>
  <c r="H2297" i="47"/>
  <c r="I2297" i="47"/>
  <c r="J2297" i="47"/>
  <c r="B2298" i="47"/>
  <c r="D2298" i="47"/>
  <c r="E2298" i="47"/>
  <c r="F2298" i="47"/>
  <c r="H2298" i="47"/>
  <c r="I2298" i="47"/>
  <c r="J2298" i="47"/>
  <c r="B2299" i="47"/>
  <c r="D2299" i="47"/>
  <c r="E2299" i="47"/>
  <c r="F2299" i="47"/>
  <c r="H2299" i="47"/>
  <c r="I2299" i="47"/>
  <c r="J2299" i="47"/>
  <c r="B2300" i="47"/>
  <c r="D2300" i="47"/>
  <c r="E2300" i="47"/>
  <c r="F2300" i="47"/>
  <c r="H2300" i="47"/>
  <c r="I2300" i="47"/>
  <c r="J2300" i="47"/>
  <c r="B2301" i="47"/>
  <c r="D2301" i="47"/>
  <c r="E2301" i="47"/>
  <c r="F2301" i="47"/>
  <c r="H2301" i="47"/>
  <c r="I2301" i="47"/>
  <c r="J2301" i="47"/>
  <c r="A2462" i="47"/>
  <c r="B2471" i="47"/>
  <c r="B2540" i="47"/>
  <c r="B2560" i="47"/>
  <c r="A2623" i="47"/>
  <c r="B2664" i="47"/>
  <c r="C2664" i="47"/>
  <c r="D2664" i="47"/>
  <c r="E2664" i="47"/>
  <c r="B2665" i="47"/>
  <c r="C2665" i="47"/>
  <c r="D2665" i="47"/>
  <c r="E2665" i="47"/>
  <c r="C2705" i="47" s="1"/>
  <c r="D2741" i="47" s="1"/>
  <c r="B2666" i="47"/>
  <c r="C2666" i="47"/>
  <c r="D2666" i="47"/>
  <c r="E2666" i="47"/>
  <c r="D2701" i="47" s="1"/>
  <c r="E2737" i="47" s="1"/>
  <c r="B2667" i="47"/>
  <c r="C2667" i="47"/>
  <c r="D2667" i="47"/>
  <c r="E2667" i="47"/>
  <c r="B2668" i="47"/>
  <c r="C2668" i="47"/>
  <c r="D2668" i="47"/>
  <c r="E2668" i="47"/>
  <c r="F2703" i="47" s="1"/>
  <c r="G2739" i="47" s="1"/>
  <c r="B2669" i="47"/>
  <c r="C2669" i="47"/>
  <c r="D2669" i="47"/>
  <c r="E2669" i="47"/>
  <c r="G2702" i="47" s="1"/>
  <c r="H2738" i="47" s="1"/>
  <c r="B2670" i="47"/>
  <c r="C2670" i="47"/>
  <c r="D2670" i="47"/>
  <c r="E2670" i="47"/>
  <c r="H2706" i="47" s="1"/>
  <c r="I2742" i="47" s="1"/>
  <c r="B2671" i="47"/>
  <c r="C2671" i="47"/>
  <c r="D2671" i="47"/>
  <c r="E2671" i="47"/>
  <c r="I2705" i="47" s="1"/>
  <c r="J2741" i="47" s="1"/>
  <c r="A2744" i="47"/>
  <c r="B2766" i="47"/>
  <c r="B2923" i="47" s="1"/>
  <c r="B2770" i="47"/>
  <c r="B2927" i="47" s="1"/>
  <c r="B2774" i="47"/>
  <c r="B2931" i="47" s="1"/>
  <c r="B2782" i="47"/>
  <c r="B2939" i="47" s="1"/>
  <c r="B2786" i="47"/>
  <c r="B3218" i="47" s="1"/>
  <c r="B2788" i="47"/>
  <c r="B2789" i="47"/>
  <c r="B2791" i="47"/>
  <c r="B3223" i="47" s="1"/>
  <c r="A2872" i="47"/>
  <c r="A3003" i="47"/>
  <c r="C3035" i="47"/>
  <c r="A3101" i="47"/>
  <c r="B3143" i="47"/>
  <c r="B3144" i="47"/>
  <c r="B3163" i="47" s="1"/>
  <c r="B3178" i="47" s="1"/>
  <c r="B3403" i="47" s="1"/>
  <c r="B3145" i="47"/>
  <c r="B3146" i="47"/>
  <c r="B3147" i="47"/>
  <c r="B3148" i="47"/>
  <c r="B3167" i="47" s="1"/>
  <c r="B3182" i="47" s="1"/>
  <c r="B3407" i="47" s="1"/>
  <c r="B3164" i="47"/>
  <c r="B3179" i="47" s="1"/>
  <c r="B3404" i="47" s="1"/>
  <c r="B3165" i="47"/>
  <c r="B3180" i="47" s="1"/>
  <c r="B3405" i="47" s="1"/>
  <c r="A3184" i="47"/>
  <c r="B3221" i="47"/>
  <c r="L3312" i="47"/>
  <c r="L3313" i="47"/>
  <c r="L3319" i="47"/>
  <c r="L3321" i="47"/>
  <c r="L3325" i="47"/>
  <c r="L3333" i="47"/>
  <c r="K3335" i="47"/>
  <c r="L3335" i="47"/>
  <c r="C3421" i="47"/>
  <c r="D3421" i="47"/>
  <c r="F3421" i="47"/>
  <c r="G3421" i="47"/>
  <c r="D3422" i="47"/>
  <c r="F3422" i="47"/>
  <c r="G3422" i="47"/>
  <c r="C3423" i="47"/>
  <c r="D3423" i="47"/>
  <c r="E3423" i="47"/>
  <c r="F3423" i="47"/>
  <c r="G3423" i="47"/>
  <c r="C3424" i="47"/>
  <c r="D3424" i="47"/>
  <c r="F3424" i="47"/>
  <c r="G3424" i="47"/>
  <c r="D3425" i="47"/>
  <c r="F3425" i="47"/>
  <c r="G3425" i="47"/>
  <c r="C3426" i="47"/>
  <c r="D3426" i="47"/>
  <c r="E3426" i="47"/>
  <c r="F3426" i="47"/>
  <c r="G3426" i="47"/>
  <c r="D3427" i="47"/>
  <c r="F3427" i="47"/>
  <c r="G3427" i="47"/>
  <c r="D3428" i="47"/>
  <c r="F3428" i="47"/>
  <c r="G3428" i="47"/>
  <c r="D3429" i="47"/>
  <c r="F3429" i="47"/>
  <c r="G3429" i="47"/>
  <c r="F3430" i="47"/>
  <c r="G3430" i="47"/>
  <c r="F3431" i="47"/>
  <c r="G3431" i="47"/>
  <c r="C3435" i="47"/>
  <c r="D3435" i="47"/>
  <c r="E3435" i="47"/>
  <c r="F3435" i="47"/>
  <c r="G3435" i="47"/>
  <c r="C3436" i="47"/>
  <c r="D3436" i="47"/>
  <c r="E3436" i="47"/>
  <c r="F3436" i="47"/>
  <c r="G3436" i="47"/>
  <c r="C3437" i="47"/>
  <c r="D3437" i="47"/>
  <c r="E3437" i="47"/>
  <c r="F3437" i="47"/>
  <c r="G3437" i="47"/>
  <c r="C3438" i="47"/>
  <c r="D3438" i="47"/>
  <c r="E3438" i="47"/>
  <c r="F3438" i="47"/>
  <c r="G3438" i="47"/>
  <c r="E3439" i="47"/>
  <c r="F3439" i="47"/>
  <c r="G3439" i="47"/>
  <c r="C3440" i="47"/>
  <c r="D3440" i="47"/>
  <c r="F3440" i="47"/>
  <c r="G3440" i="47"/>
  <c r="C3441" i="47"/>
  <c r="D3441" i="47"/>
  <c r="F3441" i="47"/>
  <c r="G3441" i="47"/>
  <c r="C3442" i="47"/>
  <c r="D3442" i="47"/>
  <c r="F3442" i="47"/>
  <c r="F3443" i="47"/>
  <c r="C3444" i="47"/>
  <c r="D3444" i="47"/>
  <c r="F3444" i="47"/>
  <c r="F3445" i="47"/>
  <c r="C3446" i="47"/>
  <c r="D3446" i="47"/>
  <c r="F3446" i="47"/>
  <c r="F3447" i="47"/>
  <c r="A3449" i="47"/>
  <c r="A3508" i="47"/>
  <c r="B3654" i="47"/>
  <c r="C3654" i="47"/>
  <c r="C3771" i="47" s="1"/>
  <c r="D3654" i="47"/>
  <c r="C3798" i="47" s="1"/>
  <c r="G3654" i="47"/>
  <c r="C3879" i="47" s="1"/>
  <c r="B3655" i="47"/>
  <c r="C3745" i="47" s="1"/>
  <c r="C3655" i="47"/>
  <c r="D3655" i="47"/>
  <c r="C3799" i="47" s="1"/>
  <c r="G3655" i="47"/>
  <c r="C3880" i="47" s="1"/>
  <c r="B3656" i="47"/>
  <c r="C3656" i="47"/>
  <c r="C3773" i="47" s="1"/>
  <c r="D3656" i="47"/>
  <c r="C3800" i="47" s="1"/>
  <c r="G3656" i="47"/>
  <c r="C3881" i="47" s="1"/>
  <c r="B3657" i="47"/>
  <c r="C3657" i="47"/>
  <c r="D3657" i="47"/>
  <c r="C3801" i="47" s="1"/>
  <c r="G3657" i="47"/>
  <c r="C3882" i="47" s="1"/>
  <c r="B3658" i="47"/>
  <c r="C3658" i="47"/>
  <c r="C3775" i="47" s="1"/>
  <c r="D3658" i="47"/>
  <c r="C3802" i="47" s="1"/>
  <c r="G3658" i="47"/>
  <c r="C3883" i="47" s="1"/>
  <c r="B3659" i="47"/>
  <c r="C3749" i="47" s="1"/>
  <c r="C3659" i="47"/>
  <c r="C3776" i="47" s="1"/>
  <c r="D3659" i="47"/>
  <c r="C3803" i="47" s="1"/>
  <c r="G3659" i="47"/>
  <c r="C3884" i="47" s="1"/>
  <c r="B3660" i="47"/>
  <c r="C3660" i="47"/>
  <c r="C3777" i="47" s="1"/>
  <c r="D3660" i="47"/>
  <c r="C3804" i="47" s="1"/>
  <c r="G3660" i="47"/>
  <c r="C3885" i="47" s="1"/>
  <c r="B3661" i="47"/>
  <c r="C3661" i="47"/>
  <c r="C3778" i="47" s="1"/>
  <c r="D3661" i="47"/>
  <c r="C3805" i="47" s="1"/>
  <c r="G3661" i="47"/>
  <c r="C3886" i="47" s="1"/>
  <c r="H3724" i="47"/>
  <c r="B3752" i="47"/>
  <c r="B3754" i="47"/>
  <c r="B3755" i="47"/>
  <c r="B3757" i="47"/>
  <c r="B3766" i="47"/>
  <c r="B3767" i="47"/>
  <c r="B3768" i="47"/>
  <c r="B3769" i="47"/>
  <c r="B3771" i="47"/>
  <c r="B3772" i="47"/>
  <c r="B3773" i="47"/>
  <c r="B3775" i="47"/>
  <c r="B3777" i="47"/>
  <c r="B3779" i="47"/>
  <c r="B3780" i="47"/>
  <c r="B3781" i="47"/>
  <c r="B3782" i="47"/>
  <c r="B3783" i="47"/>
  <c r="B3784" i="47"/>
  <c r="B3785" i="47"/>
  <c r="B3786" i="47"/>
  <c r="B3787" i="47"/>
  <c r="B3793" i="47"/>
  <c r="B3794" i="47"/>
  <c r="B3795" i="47"/>
  <c r="B3796" i="47"/>
  <c r="B3798" i="47"/>
  <c r="B3799" i="47"/>
  <c r="B3800" i="47"/>
  <c r="B3802" i="47"/>
  <c r="B3804" i="47"/>
  <c r="B3808" i="47"/>
  <c r="B3811" i="47"/>
  <c r="B3820" i="47"/>
  <c r="B3821" i="47"/>
  <c r="B3822" i="47"/>
  <c r="B3823" i="47"/>
  <c r="B3824" i="47"/>
  <c r="B3833" i="47"/>
  <c r="B3834" i="47"/>
  <c r="B3835" i="47"/>
  <c r="B3836" i="47"/>
  <c r="B3837" i="47"/>
  <c r="B3838" i="47"/>
  <c r="B3839" i="47"/>
  <c r="B3840" i="47"/>
  <c r="B3841" i="47"/>
  <c r="B3842" i="47"/>
  <c r="B3843" i="47"/>
  <c r="B3847" i="47"/>
  <c r="B3848" i="47"/>
  <c r="B3849" i="47"/>
  <c r="B3850" i="47"/>
  <c r="B3851" i="47"/>
  <c r="B3852" i="47"/>
  <c r="B3853" i="47"/>
  <c r="B3854" i="47"/>
  <c r="B3855" i="47"/>
  <c r="B3856" i="47"/>
  <c r="B3857" i="47"/>
  <c r="B3858" i="47"/>
  <c r="B3859" i="47"/>
  <c r="B3860" i="47"/>
  <c r="B3861" i="47"/>
  <c r="B3862" i="47"/>
  <c r="B3863" i="47"/>
  <c r="B3864" i="47"/>
  <c r="B3865" i="47"/>
  <c r="B3866" i="47"/>
  <c r="B3867" i="47"/>
  <c r="B3868" i="47"/>
  <c r="B3869" i="47"/>
  <c r="B3870" i="47"/>
  <c r="B3874" i="47"/>
  <c r="B3875" i="47"/>
  <c r="B3876" i="47"/>
  <c r="B3877" i="47"/>
  <c r="B3878" i="47"/>
  <c r="B3879" i="47"/>
  <c r="B3880" i="47"/>
  <c r="C3744" i="47"/>
  <c r="C3746" i="47"/>
  <c r="C3747" i="47"/>
  <c r="C3748" i="47"/>
  <c r="C3750" i="47"/>
  <c r="C3751" i="47"/>
  <c r="D3752" i="47"/>
  <c r="D3754" i="47"/>
  <c r="D3755" i="47"/>
  <c r="D3757" i="47"/>
  <c r="D3766" i="47"/>
  <c r="D3767" i="47"/>
  <c r="D3768" i="47"/>
  <c r="D3769" i="47"/>
  <c r="D3771" i="47"/>
  <c r="C3772" i="47"/>
  <c r="D3772" i="47"/>
  <c r="D3773" i="47"/>
  <c r="C3774" i="47"/>
  <c r="D3775" i="47"/>
  <c r="D3777" i="47"/>
  <c r="D3779" i="47"/>
  <c r="D3780" i="47"/>
  <c r="D3781" i="47"/>
  <c r="D3782" i="47"/>
  <c r="D3783" i="47"/>
  <c r="D3784" i="47"/>
  <c r="D3785" i="47"/>
  <c r="D3786" i="47"/>
  <c r="D3787" i="47"/>
  <c r="D3793" i="47"/>
  <c r="D3794" i="47"/>
  <c r="D3795" i="47"/>
  <c r="D3796" i="47"/>
  <c r="D3798" i="47"/>
  <c r="D3799" i="47"/>
  <c r="D3800" i="47"/>
  <c r="D3802" i="47"/>
  <c r="D3804" i="47"/>
  <c r="D3808" i="47"/>
  <c r="D3811" i="47"/>
  <c r="D3820" i="47"/>
  <c r="D3821" i="47"/>
  <c r="D3822" i="47"/>
  <c r="D3823" i="47"/>
  <c r="D3824" i="47"/>
  <c r="D3833" i="47"/>
  <c r="D3834" i="47"/>
  <c r="D3835" i="47"/>
  <c r="D3836" i="47"/>
  <c r="D3837" i="47"/>
  <c r="D3838" i="47"/>
  <c r="D3839" i="47"/>
  <c r="D3840" i="47"/>
  <c r="D3841" i="47"/>
  <c r="D3842" i="47"/>
  <c r="D3843" i="47"/>
  <c r="D3847" i="47"/>
  <c r="D3848" i="47"/>
  <c r="D3849" i="47"/>
  <c r="D3850" i="47"/>
  <c r="D3851" i="47"/>
  <c r="D3852" i="47"/>
  <c r="D3853" i="47"/>
  <c r="D3854" i="47"/>
  <c r="D3855" i="47"/>
  <c r="D3856" i="47"/>
  <c r="D3857" i="47"/>
  <c r="D3858" i="47"/>
  <c r="D3859" i="47"/>
  <c r="D3860" i="47"/>
  <c r="D3861" i="47"/>
  <c r="D3862" i="47"/>
  <c r="D3863" i="47"/>
  <c r="D3864" i="47"/>
  <c r="D3865" i="47"/>
  <c r="D3866" i="47"/>
  <c r="D3867" i="47"/>
  <c r="D3868" i="47"/>
  <c r="D3869" i="47"/>
  <c r="D3870" i="47"/>
  <c r="D3874" i="47"/>
  <c r="D3875" i="47"/>
  <c r="D3876" i="47"/>
  <c r="D3877" i="47"/>
  <c r="D3878" i="47"/>
  <c r="D3879" i="47"/>
  <c r="D3880" i="47"/>
  <c r="B3948" i="47"/>
  <c r="C3948" i="47"/>
  <c r="D3948" i="47"/>
  <c r="E3948" i="47"/>
  <c r="F3948" i="47"/>
  <c r="G3948" i="47"/>
  <c r="B3949" i="47"/>
  <c r="C3949" i="47"/>
  <c r="D3949" i="47"/>
  <c r="E3949" i="47"/>
  <c r="F3949" i="47"/>
  <c r="G3949" i="47"/>
  <c r="B3950" i="47"/>
  <c r="C3950" i="47"/>
  <c r="D3950" i="47"/>
  <c r="E3950" i="47"/>
  <c r="F3950" i="47"/>
  <c r="G3950" i="47"/>
  <c r="B3951" i="47"/>
  <c r="C3951" i="47"/>
  <c r="D3951" i="47"/>
  <c r="E3951" i="47"/>
  <c r="F3951" i="47"/>
  <c r="G3951" i="47"/>
  <c r="B3952" i="47"/>
  <c r="C3952" i="47"/>
  <c r="D3952" i="47"/>
  <c r="E3952" i="47"/>
  <c r="F3952" i="47"/>
  <c r="G3952" i="47"/>
  <c r="B3953" i="47"/>
  <c r="C3953" i="47"/>
  <c r="D3953" i="47"/>
  <c r="E3953" i="47"/>
  <c r="F3953" i="47"/>
  <c r="G3953" i="47"/>
  <c r="B3954" i="47"/>
  <c r="C3954" i="47"/>
  <c r="D3954" i="47"/>
  <c r="E3954" i="47"/>
  <c r="F3954" i="47"/>
  <c r="G3954" i="47"/>
  <c r="B3955" i="47"/>
  <c r="C3955" i="47"/>
  <c r="D3955" i="47"/>
  <c r="E3955" i="47"/>
  <c r="F3955" i="47"/>
  <c r="G3955" i="47"/>
  <c r="A3957" i="47"/>
  <c r="C4179" i="47"/>
  <c r="M46" i="46" s="1"/>
  <c r="D4179" i="47"/>
  <c r="F4179" i="47"/>
  <c r="G4179" i="47"/>
  <c r="C4180" i="47"/>
  <c r="D4180" i="47"/>
  <c r="F4180" i="47"/>
  <c r="H42" i="45" s="1"/>
  <c r="G4180" i="47"/>
  <c r="C4181" i="47"/>
  <c r="D4181" i="47"/>
  <c r="F4181" i="47"/>
  <c r="G48" i="46" s="1"/>
  <c r="G4181" i="47"/>
  <c r="G4183" i="47"/>
  <c r="D4184" i="47"/>
  <c r="F4184" i="47"/>
  <c r="G4184" i="47"/>
  <c r="D4185" i="47"/>
  <c r="N52" i="46" s="1"/>
  <c r="F4185" i="47"/>
  <c r="G4185" i="47"/>
  <c r="C4187" i="47"/>
  <c r="D4187" i="47"/>
  <c r="F4187" i="47"/>
  <c r="G4187" i="47"/>
  <c r="D4188" i="47"/>
  <c r="N55" i="46" s="1"/>
  <c r="C4189" i="47"/>
  <c r="M56" i="46" s="1"/>
  <c r="D4189" i="47"/>
  <c r="F4189" i="47"/>
  <c r="G4189" i="47"/>
  <c r="C4191" i="47"/>
  <c r="M58" i="46" s="1"/>
  <c r="D4191" i="47"/>
  <c r="F4191" i="47"/>
  <c r="G4191" i="47"/>
  <c r="C4192" i="47"/>
  <c r="M59" i="46" s="1"/>
  <c r="D4192" i="47"/>
  <c r="F4192" i="47"/>
  <c r="G4192" i="47"/>
  <c r="C4193" i="47"/>
  <c r="M60" i="46" s="1"/>
  <c r="D4195" i="47"/>
  <c r="F19" i="45" s="1"/>
  <c r="F4195" i="47"/>
  <c r="G4195" i="47"/>
  <c r="D4196" i="47"/>
  <c r="F4196" i="47"/>
  <c r="G63" i="46" s="1"/>
  <c r="G4196" i="47"/>
  <c r="D4197" i="47"/>
  <c r="F4197" i="47"/>
  <c r="G4197" i="47"/>
  <c r="H64" i="46" s="1"/>
  <c r="C4200" i="47"/>
  <c r="D4200" i="47"/>
  <c r="E4200" i="47"/>
  <c r="F4200" i="47"/>
  <c r="G4200" i="47"/>
  <c r="C4201" i="47"/>
  <c r="D4201" i="47"/>
  <c r="F4201" i="47"/>
  <c r="G68" i="46" s="1"/>
  <c r="G4201" i="47"/>
  <c r="D4203" i="47"/>
  <c r="F4203" i="47"/>
  <c r="G4203" i="47"/>
  <c r="D4205" i="47"/>
  <c r="N72" i="46" s="1"/>
  <c r="F4205" i="47"/>
  <c r="G4205" i="47"/>
  <c r="D4207" i="47"/>
  <c r="F4207" i="47"/>
  <c r="G4207" i="47"/>
  <c r="D4209" i="47"/>
  <c r="F4209" i="47"/>
  <c r="G4209" i="47"/>
  <c r="I23" i="45" s="1"/>
  <c r="F4212" i="47"/>
  <c r="G4212" i="47"/>
  <c r="H79" i="46" s="1"/>
  <c r="F4213" i="47"/>
  <c r="G4213" i="47"/>
  <c r="F4215" i="47"/>
  <c r="G4215" i="47"/>
  <c r="I25" i="45" s="1"/>
  <c r="F4217" i="47"/>
  <c r="G4217" i="47"/>
  <c r="H84" i="46" s="1"/>
  <c r="C4229" i="47"/>
  <c r="D4229" i="47"/>
  <c r="E4229" i="47"/>
  <c r="F4229" i="47"/>
  <c r="G4229" i="47"/>
  <c r="C4230" i="47"/>
  <c r="D4230" i="47"/>
  <c r="F4230" i="47"/>
  <c r="G97" i="46" s="1"/>
  <c r="G4230" i="47"/>
  <c r="C4231" i="47"/>
  <c r="D4231" i="47"/>
  <c r="E4231" i="47"/>
  <c r="F98" i="46" s="1"/>
  <c r="F4231" i="47"/>
  <c r="G4231" i="47"/>
  <c r="C4234" i="47"/>
  <c r="D4234" i="47"/>
  <c r="N101" i="46" s="1"/>
  <c r="E4234" i="47"/>
  <c r="F4234" i="47"/>
  <c r="G4234" i="47"/>
  <c r="C4235" i="47"/>
  <c r="M102" i="46" s="1"/>
  <c r="D4235" i="47"/>
  <c r="F4235" i="47"/>
  <c r="G4235" i="47"/>
  <c r="C4237" i="47"/>
  <c r="E31" i="45" s="1"/>
  <c r="D4237" i="47"/>
  <c r="E4237" i="47"/>
  <c r="F4237" i="47"/>
  <c r="G4237" i="47"/>
  <c r="G4238" i="47"/>
  <c r="H105" i="46" s="1"/>
  <c r="C4239" i="47"/>
  <c r="D4239" i="47"/>
  <c r="E4239" i="47"/>
  <c r="F4239" i="47"/>
  <c r="G106" i="46" s="1"/>
  <c r="G4239" i="47"/>
  <c r="C4241" i="47"/>
  <c r="D4241" i="47"/>
  <c r="F4241" i="47"/>
  <c r="G108" i="46" s="1"/>
  <c r="G4241" i="47"/>
  <c r="C4242" i="47"/>
  <c r="D4242" i="47"/>
  <c r="E4242" i="47"/>
  <c r="F109" i="46" s="1"/>
  <c r="F4242" i="47"/>
  <c r="G4242" i="47"/>
  <c r="D4243" i="47"/>
  <c r="N110" i="46" s="1"/>
  <c r="E4245" i="47"/>
  <c r="F4245" i="47"/>
  <c r="G4245" i="47"/>
  <c r="F4246" i="47"/>
  <c r="G4246" i="47"/>
  <c r="E4247" i="47"/>
  <c r="F114" i="46" s="1"/>
  <c r="F4247" i="47"/>
  <c r="G4247" i="47"/>
  <c r="D4249" i="47"/>
  <c r="N116" i="46" s="1"/>
  <c r="C4250" i="47"/>
  <c r="D4250" i="47"/>
  <c r="N117" i="46" s="1"/>
  <c r="F4250" i="47"/>
  <c r="G4250" i="47"/>
  <c r="C4251" i="47"/>
  <c r="D4251" i="47"/>
  <c r="N118" i="46" s="1"/>
  <c r="F4251" i="47"/>
  <c r="G4251" i="47"/>
  <c r="C4253" i="47"/>
  <c r="D4253" i="47"/>
  <c r="N120" i="46" s="1"/>
  <c r="F4253" i="47"/>
  <c r="G4253" i="47"/>
  <c r="C4254" i="47"/>
  <c r="D4254" i="47"/>
  <c r="N121" i="46" s="1"/>
  <c r="F4254" i="47"/>
  <c r="G4254" i="47"/>
  <c r="C4257" i="47"/>
  <c r="D4257" i="47"/>
  <c r="F4257" i="47"/>
  <c r="G124" i="46" s="1"/>
  <c r="C4258" i="47"/>
  <c r="D4258" i="47"/>
  <c r="F4258" i="47"/>
  <c r="F4260" i="47"/>
  <c r="G127" i="46" s="1"/>
  <c r="F4261" i="47"/>
  <c r="C4264" i="47"/>
  <c r="D4264" i="47"/>
  <c r="F38" i="45" s="1"/>
  <c r="F4264" i="47"/>
  <c r="C4265" i="47"/>
  <c r="D4265" i="47"/>
  <c r="F4265" i="47"/>
  <c r="G132" i="46" s="1"/>
  <c r="F4267" i="47"/>
  <c r="F4268" i="47"/>
  <c r="D4270" i="47"/>
  <c r="N137" i="46" s="1"/>
  <c r="C4271" i="47"/>
  <c r="D4271" i="47"/>
  <c r="F4271" i="47"/>
  <c r="G138" i="46" s="1"/>
  <c r="F4273" i="47"/>
  <c r="A1" i="46"/>
  <c r="B14" i="46"/>
  <c r="B46" i="46"/>
  <c r="C46" i="46"/>
  <c r="H46" i="46"/>
  <c r="N46" i="46"/>
  <c r="B47" i="46"/>
  <c r="C47" i="46"/>
  <c r="G47" i="46"/>
  <c r="H47" i="46"/>
  <c r="M47" i="46"/>
  <c r="N47" i="46"/>
  <c r="B48" i="46"/>
  <c r="C48" i="46"/>
  <c r="H48" i="46"/>
  <c r="M48" i="46"/>
  <c r="N48" i="46"/>
  <c r="B50" i="46"/>
  <c r="C50" i="46"/>
  <c r="B51" i="46"/>
  <c r="C51" i="46"/>
  <c r="G51" i="46"/>
  <c r="H51" i="46"/>
  <c r="N51" i="46"/>
  <c r="B52" i="46"/>
  <c r="C52" i="46"/>
  <c r="G52" i="46"/>
  <c r="H52" i="46"/>
  <c r="B54" i="46"/>
  <c r="C54" i="46"/>
  <c r="J54" i="46" s="1"/>
  <c r="G54" i="46"/>
  <c r="H54" i="46"/>
  <c r="M54" i="46"/>
  <c r="B55" i="46"/>
  <c r="I55" i="46" s="1"/>
  <c r="C55" i="46"/>
  <c r="J55" i="46" s="1"/>
  <c r="B56" i="46"/>
  <c r="I56" i="46" s="1"/>
  <c r="C56" i="46"/>
  <c r="J56" i="46" s="1"/>
  <c r="G56" i="46"/>
  <c r="H56" i="46"/>
  <c r="K56" i="46"/>
  <c r="N56" i="46"/>
  <c r="B58" i="46"/>
  <c r="C58" i="46"/>
  <c r="G58" i="46"/>
  <c r="H58" i="46"/>
  <c r="N58" i="46"/>
  <c r="B59" i="46"/>
  <c r="C59" i="46"/>
  <c r="G59" i="46"/>
  <c r="H59" i="46"/>
  <c r="N59" i="46"/>
  <c r="B60" i="46"/>
  <c r="C60" i="46"/>
  <c r="B62" i="46"/>
  <c r="C62" i="46"/>
  <c r="G62" i="46"/>
  <c r="H62" i="46"/>
  <c r="N62" i="46"/>
  <c r="B63" i="46"/>
  <c r="K63" i="46" s="1"/>
  <c r="C63" i="46"/>
  <c r="J63" i="46" s="1"/>
  <c r="H63" i="46"/>
  <c r="I63" i="46"/>
  <c r="N63" i="46"/>
  <c r="B64" i="46"/>
  <c r="C64" i="46"/>
  <c r="G64" i="46"/>
  <c r="N64" i="46"/>
  <c r="B66" i="46"/>
  <c r="C66" i="46"/>
  <c r="J66" i="46" s="1"/>
  <c r="B67" i="46"/>
  <c r="I67" i="46" s="1"/>
  <c r="C67" i="46"/>
  <c r="J67" i="46" s="1"/>
  <c r="F67" i="46"/>
  <c r="H67" i="46"/>
  <c r="M67" i="46"/>
  <c r="N67" i="46"/>
  <c r="B68" i="46"/>
  <c r="I68" i="46" s="1"/>
  <c r="C68" i="46"/>
  <c r="J68" i="46" s="1"/>
  <c r="H68" i="46"/>
  <c r="K68" i="46"/>
  <c r="M68" i="46"/>
  <c r="N68" i="46"/>
  <c r="B70" i="46"/>
  <c r="C70" i="46"/>
  <c r="G70" i="46"/>
  <c r="N70" i="46"/>
  <c r="B71" i="46"/>
  <c r="I71" i="46" s="1"/>
  <c r="C71" i="46"/>
  <c r="J71" i="46"/>
  <c r="B72" i="46"/>
  <c r="C72" i="46"/>
  <c r="G72" i="46"/>
  <c r="H72" i="46"/>
  <c r="B74" i="46"/>
  <c r="C74" i="46"/>
  <c r="H74" i="46"/>
  <c r="N74" i="46"/>
  <c r="B76" i="46"/>
  <c r="C76" i="46"/>
  <c r="G76" i="46"/>
  <c r="H76" i="46"/>
  <c r="N76" i="46"/>
  <c r="B78" i="46"/>
  <c r="I78" i="46" s="1"/>
  <c r="C78" i="46"/>
  <c r="J78" i="46"/>
  <c r="B79" i="46"/>
  <c r="I79" i="46" s="1"/>
  <c r="C79" i="46"/>
  <c r="J79" i="46" s="1"/>
  <c r="G79" i="46"/>
  <c r="K79" i="46"/>
  <c r="B80" i="46"/>
  <c r="K80" i="46" s="1"/>
  <c r="C80" i="46"/>
  <c r="J80" i="46" s="1"/>
  <c r="G80" i="46"/>
  <c r="H80" i="46"/>
  <c r="I80" i="46"/>
  <c r="B82" i="46"/>
  <c r="K82" i="46" s="1"/>
  <c r="C82" i="46"/>
  <c r="G82" i="46"/>
  <c r="H82" i="46"/>
  <c r="I82" i="46"/>
  <c r="J82" i="46"/>
  <c r="B83" i="46"/>
  <c r="I83" i="46" s="1"/>
  <c r="C83" i="46"/>
  <c r="J83" i="46" s="1"/>
  <c r="B84" i="46"/>
  <c r="I84" i="46" s="1"/>
  <c r="C84" i="46"/>
  <c r="J84" i="46" s="1"/>
  <c r="G84" i="46"/>
  <c r="B86" i="46"/>
  <c r="C86" i="46"/>
  <c r="B87" i="46"/>
  <c r="K87" i="46" s="1"/>
  <c r="C87" i="46"/>
  <c r="J87" i="46" s="1"/>
  <c r="I87" i="46"/>
  <c r="B88" i="46"/>
  <c r="C88" i="46"/>
  <c r="B90" i="46"/>
  <c r="C90" i="46"/>
  <c r="B91" i="46"/>
  <c r="C91" i="46"/>
  <c r="B93" i="46"/>
  <c r="C93" i="46"/>
  <c r="B94" i="46"/>
  <c r="C94" i="46"/>
  <c r="B96" i="46"/>
  <c r="C96" i="46"/>
  <c r="F96" i="46"/>
  <c r="H96" i="46"/>
  <c r="M96" i="46"/>
  <c r="N96" i="46"/>
  <c r="B97" i="46"/>
  <c r="C97" i="46"/>
  <c r="J97" i="46" s="1"/>
  <c r="H97" i="46"/>
  <c r="M97" i="46"/>
  <c r="N97" i="46"/>
  <c r="B98" i="46"/>
  <c r="C98" i="46"/>
  <c r="G98" i="46"/>
  <c r="H98" i="46"/>
  <c r="J98" i="46"/>
  <c r="M98" i="46"/>
  <c r="N98" i="46"/>
  <c r="B100" i="46"/>
  <c r="C100" i="46"/>
  <c r="B101" i="46"/>
  <c r="C101" i="46"/>
  <c r="J101" i="46" s="1"/>
  <c r="F101" i="46"/>
  <c r="G101" i="46"/>
  <c r="H101" i="46"/>
  <c r="M101" i="46"/>
  <c r="B102" i="46"/>
  <c r="C102" i="46"/>
  <c r="J102" i="46" s="1"/>
  <c r="G102" i="46"/>
  <c r="H102" i="46"/>
  <c r="N102" i="46"/>
  <c r="B104" i="46"/>
  <c r="C104" i="46"/>
  <c r="F104" i="46"/>
  <c r="G104" i="46"/>
  <c r="M104" i="46"/>
  <c r="N104" i="46"/>
  <c r="B105" i="46"/>
  <c r="I105" i="46" s="1"/>
  <c r="C105" i="46"/>
  <c r="J105" i="46" s="1"/>
  <c r="B106" i="46"/>
  <c r="I106" i="46" s="1"/>
  <c r="C106" i="46"/>
  <c r="J106" i="46" s="1"/>
  <c r="F106" i="46"/>
  <c r="H106" i="46"/>
  <c r="M106" i="46"/>
  <c r="N106" i="46"/>
  <c r="B108" i="46"/>
  <c r="K108" i="46" s="1"/>
  <c r="C108" i="46"/>
  <c r="H108" i="46"/>
  <c r="M108" i="46"/>
  <c r="N108" i="46"/>
  <c r="B109" i="46"/>
  <c r="K109" i="46" s="1"/>
  <c r="C109" i="46"/>
  <c r="J109" i="46" s="1"/>
  <c r="G109" i="46"/>
  <c r="H109" i="46"/>
  <c r="M109" i="46"/>
  <c r="N109" i="46"/>
  <c r="B110" i="46"/>
  <c r="I110" i="46" s="1"/>
  <c r="C110" i="46"/>
  <c r="J110" i="46" s="1"/>
  <c r="B112" i="46"/>
  <c r="C112" i="46"/>
  <c r="F112" i="46"/>
  <c r="H112" i="46"/>
  <c r="B113" i="46"/>
  <c r="K113" i="46" s="1"/>
  <c r="C113" i="46"/>
  <c r="J113" i="46" s="1"/>
  <c r="G113" i="46"/>
  <c r="H113" i="46"/>
  <c r="B114" i="46"/>
  <c r="K114" i="46" s="1"/>
  <c r="C114" i="46"/>
  <c r="G114" i="46"/>
  <c r="H114" i="46"/>
  <c r="J114" i="46"/>
  <c r="B116" i="46"/>
  <c r="C116" i="46"/>
  <c r="B117" i="46"/>
  <c r="I117" i="46" s="1"/>
  <c r="C117" i="46"/>
  <c r="J117" i="46" s="1"/>
  <c r="G117" i="46"/>
  <c r="H117" i="46"/>
  <c r="K117" i="46"/>
  <c r="M117" i="46"/>
  <c r="B118" i="46"/>
  <c r="K118" i="46" s="1"/>
  <c r="C118" i="46"/>
  <c r="J118" i="46" s="1"/>
  <c r="G118" i="46"/>
  <c r="H118" i="46"/>
  <c r="I118" i="46"/>
  <c r="M118" i="46"/>
  <c r="B120" i="46"/>
  <c r="K120" i="46" s="1"/>
  <c r="C120" i="46"/>
  <c r="G120" i="46"/>
  <c r="H120" i="46"/>
  <c r="I120" i="46"/>
  <c r="J120" i="46"/>
  <c r="M120" i="46"/>
  <c r="B121" i="46"/>
  <c r="I121" i="46" s="1"/>
  <c r="C121" i="46"/>
  <c r="J121" i="46" s="1"/>
  <c r="G121" i="46"/>
  <c r="H121" i="46"/>
  <c r="M121" i="46"/>
  <c r="B123" i="46"/>
  <c r="C123" i="46"/>
  <c r="B124" i="46"/>
  <c r="I124" i="46" s="1"/>
  <c r="C124" i="46"/>
  <c r="J124" i="46" s="1"/>
  <c r="M124" i="46"/>
  <c r="N124" i="46"/>
  <c r="B125" i="46"/>
  <c r="K125" i="46" s="1"/>
  <c r="C125" i="46"/>
  <c r="J125" i="46" s="1"/>
  <c r="G125" i="46"/>
  <c r="M125" i="46"/>
  <c r="N125" i="46"/>
  <c r="B127" i="46"/>
  <c r="C127" i="46"/>
  <c r="B128" i="46"/>
  <c r="I128" i="46" s="1"/>
  <c r="C128" i="46"/>
  <c r="J128" i="46" s="1"/>
  <c r="G128" i="46"/>
  <c r="B129" i="46"/>
  <c r="I129" i="46" s="1"/>
  <c r="C129" i="46"/>
  <c r="J129" i="46" s="1"/>
  <c r="B131" i="46"/>
  <c r="C131" i="46"/>
  <c r="G131" i="46"/>
  <c r="M131" i="46"/>
  <c r="N131" i="46"/>
  <c r="B132" i="46"/>
  <c r="C132" i="46"/>
  <c r="J132" i="46" s="1"/>
  <c r="M132" i="46"/>
  <c r="N132" i="46"/>
  <c r="B134" i="46"/>
  <c r="I134" i="46" s="1"/>
  <c r="C134" i="46"/>
  <c r="J134" i="46" s="1"/>
  <c r="G134" i="46"/>
  <c r="B135" i="46"/>
  <c r="I135" i="46" s="1"/>
  <c r="C135" i="46"/>
  <c r="J135" i="46" s="1"/>
  <c r="G135" i="46"/>
  <c r="B137" i="46"/>
  <c r="C137" i="46"/>
  <c r="B138" i="46"/>
  <c r="I138" i="46" s="1"/>
  <c r="C138" i="46"/>
  <c r="J138" i="46" s="1"/>
  <c r="M138" i="46"/>
  <c r="N138" i="46"/>
  <c r="B140" i="46"/>
  <c r="C140" i="46"/>
  <c r="G140" i="46"/>
  <c r="B141" i="46"/>
  <c r="I141" i="46" s="1"/>
  <c r="C141" i="46"/>
  <c r="J141" i="46" s="1"/>
  <c r="A1" i="45"/>
  <c r="E15" i="45"/>
  <c r="F15" i="45"/>
  <c r="I15" i="45"/>
  <c r="E17" i="45"/>
  <c r="H17" i="45"/>
  <c r="I17" i="45"/>
  <c r="F18" i="45"/>
  <c r="H18" i="45"/>
  <c r="I18" i="45"/>
  <c r="H19" i="45"/>
  <c r="I19" i="45"/>
  <c r="F21" i="45"/>
  <c r="H21" i="45"/>
  <c r="F22" i="45"/>
  <c r="I22" i="45"/>
  <c r="F23" i="45"/>
  <c r="H23" i="45"/>
  <c r="H25" i="45"/>
  <c r="E29" i="45"/>
  <c r="F29" i="45"/>
  <c r="G29" i="45"/>
  <c r="I29" i="45"/>
  <c r="F31" i="45"/>
  <c r="G31" i="45"/>
  <c r="H31" i="45"/>
  <c r="E32" i="45"/>
  <c r="F32" i="45"/>
  <c r="I32" i="45"/>
  <c r="G33" i="45"/>
  <c r="I33" i="45"/>
  <c r="F34" i="45"/>
  <c r="E35" i="45"/>
  <c r="H35" i="45"/>
  <c r="I35" i="45"/>
  <c r="H37" i="45"/>
  <c r="E38" i="45"/>
  <c r="H38" i="45"/>
  <c r="H39" i="45"/>
  <c r="H41" i="45"/>
  <c r="E42" i="45"/>
  <c r="F42" i="45"/>
  <c r="I42" i="45"/>
  <c r="F43" i="45"/>
  <c r="H43" i="45"/>
  <c r="I43" i="45"/>
  <c r="F45" i="45"/>
  <c r="H45" i="45"/>
  <c r="I45" i="45"/>
  <c r="F46" i="45"/>
  <c r="I46" i="45"/>
  <c r="E47" i="45"/>
  <c r="F47" i="45"/>
  <c r="G47" i="45"/>
  <c r="I47" i="45"/>
  <c r="H49" i="45"/>
  <c r="I49" i="45"/>
  <c r="E52" i="45"/>
  <c r="F52" i="45"/>
  <c r="H52" i="45"/>
  <c r="I52" i="45"/>
  <c r="E53" i="45"/>
  <c r="F53" i="45"/>
  <c r="G53" i="45"/>
  <c r="H53" i="45"/>
  <c r="I53" i="45"/>
  <c r="E55" i="45"/>
  <c r="F55" i="45"/>
  <c r="G55" i="45"/>
  <c r="H55" i="45"/>
  <c r="I55" i="45"/>
  <c r="H56" i="45"/>
  <c r="I56" i="45"/>
  <c r="E57" i="45"/>
  <c r="F57" i="45"/>
  <c r="H57" i="45"/>
  <c r="I57" i="45"/>
  <c r="E58" i="45"/>
  <c r="F58" i="45"/>
  <c r="H58" i="45"/>
  <c r="H59" i="45"/>
  <c r="E60" i="45"/>
  <c r="F60" i="45"/>
  <c r="H60" i="45"/>
  <c r="I60" i="45"/>
  <c r="H61" i="45"/>
  <c r="I61" i="45"/>
  <c r="E62" i="45"/>
  <c r="F62" i="45"/>
  <c r="H62" i="45"/>
  <c r="I62" i="45"/>
  <c r="E63" i="45"/>
  <c r="F64" i="45"/>
  <c r="H64" i="45"/>
  <c r="I64" i="45"/>
  <c r="E65" i="45"/>
  <c r="F65" i="45"/>
  <c r="H65" i="45"/>
  <c r="I65" i="45"/>
  <c r="F66" i="45"/>
  <c r="H66" i="45"/>
  <c r="I66" i="45"/>
  <c r="H67" i="45"/>
  <c r="I67" i="45"/>
  <c r="H68" i="45"/>
  <c r="E72" i="45"/>
  <c r="F72" i="45"/>
  <c r="G72" i="45"/>
  <c r="H72" i="45"/>
  <c r="I72" i="45"/>
  <c r="E73" i="45"/>
  <c r="F73" i="45"/>
  <c r="H73" i="45"/>
  <c r="I73" i="45"/>
  <c r="E74" i="45"/>
  <c r="F74" i="45"/>
  <c r="G74" i="45"/>
  <c r="H74" i="45"/>
  <c r="I74" i="45"/>
  <c r="G76" i="45"/>
  <c r="H76" i="45"/>
  <c r="I76" i="45"/>
  <c r="E77" i="45"/>
  <c r="F77" i="45"/>
  <c r="H77" i="45"/>
  <c r="I77" i="45"/>
  <c r="E78" i="45"/>
  <c r="F78" i="45"/>
  <c r="H78" i="45"/>
  <c r="I78" i="45"/>
  <c r="E79" i="45"/>
  <c r="F79" i="45"/>
  <c r="H79" i="45"/>
  <c r="E81" i="45"/>
  <c r="F81" i="45"/>
  <c r="H82" i="45"/>
  <c r="E83" i="45"/>
  <c r="F83" i="45"/>
  <c r="H83" i="45"/>
  <c r="L37" i="31"/>
  <c r="Q37" i="31" s="1"/>
  <c r="V37" i="31" s="1"/>
  <c r="AA37" i="31" s="1"/>
  <c r="K37" i="31"/>
  <c r="P37" i="31" s="1"/>
  <c r="U37" i="31" s="1"/>
  <c r="Z37" i="31" s="1"/>
  <c r="J37" i="31"/>
  <c r="O37" i="31" s="1"/>
  <c r="T37" i="31" s="1"/>
  <c r="Y37" i="31" s="1"/>
  <c r="I37" i="31"/>
  <c r="N37" i="31" s="1"/>
  <c r="S37" i="31" s="1"/>
  <c r="X37" i="31" s="1"/>
  <c r="C98" i="38" s="1"/>
  <c r="H37" i="31"/>
  <c r="M37" i="31" s="1"/>
  <c r="R37" i="31" s="1"/>
  <c r="L36" i="31"/>
  <c r="Q36" i="31" s="1"/>
  <c r="V36" i="31"/>
  <c r="AA36" i="31" s="1"/>
  <c r="K36" i="31"/>
  <c r="P36" i="31" s="1"/>
  <c r="U36" i="31" s="1"/>
  <c r="Z36" i="31" s="1"/>
  <c r="J36" i="31"/>
  <c r="O36" i="31" s="1"/>
  <c r="T36" i="31" s="1"/>
  <c r="Y36" i="31" s="1"/>
  <c r="D97" i="38" s="1"/>
  <c r="I36" i="31"/>
  <c r="N36" i="31" s="1"/>
  <c r="S36" i="31" s="1"/>
  <c r="H36" i="31"/>
  <c r="M36" i="31" s="1"/>
  <c r="R36" i="31" s="1"/>
  <c r="L35" i="31"/>
  <c r="Q35" i="31" s="1"/>
  <c r="V35" i="31" s="1"/>
  <c r="AA35" i="31" s="1"/>
  <c r="K35" i="31"/>
  <c r="P35" i="31" s="1"/>
  <c r="U35" i="31" s="1"/>
  <c r="Z35" i="31" s="1"/>
  <c r="J35" i="31"/>
  <c r="O35" i="31" s="1"/>
  <c r="T35" i="31" s="1"/>
  <c r="Y35" i="31" s="1"/>
  <c r="I35" i="31"/>
  <c r="N35" i="31" s="1"/>
  <c r="S35" i="31" s="1"/>
  <c r="X35" i="31" s="1"/>
  <c r="C96" i="38" s="1"/>
  <c r="H35" i="31"/>
  <c r="M35" i="31" s="1"/>
  <c r="R35" i="31" s="1"/>
  <c r="L34" i="31"/>
  <c r="Q34" i="31" s="1"/>
  <c r="V34" i="31"/>
  <c r="AA34" i="31" s="1"/>
  <c r="K34" i="31"/>
  <c r="P34" i="31" s="1"/>
  <c r="U34" i="31" s="1"/>
  <c r="Z34" i="31" s="1"/>
  <c r="J34" i="31"/>
  <c r="O34" i="31" s="1"/>
  <c r="T34" i="31" s="1"/>
  <c r="Y34" i="31" s="1"/>
  <c r="D95" i="38" s="1"/>
  <c r="I34" i="31"/>
  <c r="N34" i="31" s="1"/>
  <c r="S34" i="31" s="1"/>
  <c r="H34" i="31"/>
  <c r="M34" i="31" s="1"/>
  <c r="R34" i="31" s="1"/>
  <c r="R29" i="31"/>
  <c r="Z29" i="31" s="1"/>
  <c r="AH29" i="31" s="1"/>
  <c r="AP29" i="31" s="1"/>
  <c r="Q29" i="31"/>
  <c r="Y29" i="31" s="1"/>
  <c r="AG29" i="31" s="1"/>
  <c r="AO29" i="31" s="1"/>
  <c r="P29" i="31"/>
  <c r="X29" i="31" s="1"/>
  <c r="AF29" i="31" s="1"/>
  <c r="AN29" i="31" s="1"/>
  <c r="O29" i="31"/>
  <c r="W29" i="31" s="1"/>
  <c r="AE29" i="31" s="1"/>
  <c r="AM29" i="31" s="1"/>
  <c r="N29" i="31"/>
  <c r="V29" i="31" s="1"/>
  <c r="AD29" i="31" s="1"/>
  <c r="AL29" i="31" s="1"/>
  <c r="E90" i="38" s="1"/>
  <c r="M29" i="31"/>
  <c r="U29" i="31" s="1"/>
  <c r="AC29" i="31" s="1"/>
  <c r="L29" i="31"/>
  <c r="T29" i="31" s="1"/>
  <c r="AB29" i="31" s="1"/>
  <c r="K29" i="31"/>
  <c r="S29" i="31" s="1"/>
  <c r="AA29" i="31" s="1"/>
  <c r="R22" i="31"/>
  <c r="Z22" i="31" s="1"/>
  <c r="AH22" i="31" s="1"/>
  <c r="AP22" i="31" s="1"/>
  <c r="Q22" i="31"/>
  <c r="Y22" i="31" s="1"/>
  <c r="AG22" i="31"/>
  <c r="AO22" i="31" s="1"/>
  <c r="P22" i="31"/>
  <c r="X22" i="31" s="1"/>
  <c r="AF22" i="31" s="1"/>
  <c r="AN22" i="31" s="1"/>
  <c r="O22" i="31"/>
  <c r="W22" i="31" s="1"/>
  <c r="AE22" i="31" s="1"/>
  <c r="AM22" i="31" s="1"/>
  <c r="N22" i="31"/>
  <c r="V22" i="31" s="1"/>
  <c r="AD22" i="31" s="1"/>
  <c r="AL22" i="31" s="1"/>
  <c r="M22" i="31"/>
  <c r="U22" i="31" s="1"/>
  <c r="AC22" i="31"/>
  <c r="AK22" i="31" s="1"/>
  <c r="L22" i="31"/>
  <c r="K22" i="31"/>
  <c r="R21" i="31"/>
  <c r="Z21" i="31" s="1"/>
  <c r="AH21" i="31" s="1"/>
  <c r="AP21" i="31" s="1"/>
  <c r="Q21" i="31"/>
  <c r="Y21" i="31" s="1"/>
  <c r="AG21" i="31" s="1"/>
  <c r="AO21" i="31" s="1"/>
  <c r="P21" i="31"/>
  <c r="X21" i="31" s="1"/>
  <c r="AF21" i="31" s="1"/>
  <c r="AN21" i="31" s="1"/>
  <c r="O21" i="31"/>
  <c r="W21" i="31" s="1"/>
  <c r="AE21" i="31" s="1"/>
  <c r="AM21" i="31" s="1"/>
  <c r="N21" i="31"/>
  <c r="V21" i="31" s="1"/>
  <c r="AD21" i="31" s="1"/>
  <c r="AL21" i="31" s="1"/>
  <c r="M21" i="31"/>
  <c r="U21" i="31" s="1"/>
  <c r="AC21" i="31"/>
  <c r="AK21" i="31" s="1"/>
  <c r="L21" i="31"/>
  <c r="K21" i="31"/>
  <c r="R20" i="31"/>
  <c r="Z20" i="31" s="1"/>
  <c r="AH20" i="31" s="1"/>
  <c r="AP20" i="31" s="1"/>
  <c r="Q20" i="31"/>
  <c r="Y20" i="31" s="1"/>
  <c r="AG20" i="31" s="1"/>
  <c r="AO20" i="31" s="1"/>
  <c r="P20" i="31"/>
  <c r="X20" i="31" s="1"/>
  <c r="AF20" i="31" s="1"/>
  <c r="AN20" i="31" s="1"/>
  <c r="O20" i="31"/>
  <c r="W20" i="31" s="1"/>
  <c r="AE20" i="31"/>
  <c r="AM20" i="31" s="1"/>
  <c r="N20" i="31"/>
  <c r="V20" i="31" s="1"/>
  <c r="AD20" i="31" s="1"/>
  <c r="AL20" i="31" s="1"/>
  <c r="M20" i="31"/>
  <c r="U20" i="31" s="1"/>
  <c r="AC20" i="31"/>
  <c r="AK20" i="31" s="1"/>
  <c r="L20" i="31"/>
  <c r="K20" i="31"/>
  <c r="R19" i="31"/>
  <c r="Z19" i="31" s="1"/>
  <c r="AH19" i="31" s="1"/>
  <c r="AP19" i="31" s="1"/>
  <c r="Q19" i="31"/>
  <c r="Y19" i="31" s="1"/>
  <c r="AG19" i="31"/>
  <c r="AO19" i="31" s="1"/>
  <c r="P19" i="31"/>
  <c r="X19" i="31" s="1"/>
  <c r="AF19" i="31" s="1"/>
  <c r="AN19" i="31" s="1"/>
  <c r="O19" i="31"/>
  <c r="W19" i="31" s="1"/>
  <c r="AE19" i="31"/>
  <c r="AM19" i="31" s="1"/>
  <c r="N19" i="31"/>
  <c r="V19" i="31" s="1"/>
  <c r="AD19" i="31" s="1"/>
  <c r="AL19" i="31" s="1"/>
  <c r="M19" i="31"/>
  <c r="U19" i="31" s="1"/>
  <c r="AC19" i="31" s="1"/>
  <c r="AK19" i="31" s="1"/>
  <c r="L19" i="31"/>
  <c r="K19" i="31"/>
  <c r="R18" i="31"/>
  <c r="Z18" i="31" s="1"/>
  <c r="AH18" i="31" s="1"/>
  <c r="AP18" i="31" s="1"/>
  <c r="Q18" i="31"/>
  <c r="Y18" i="31" s="1"/>
  <c r="AG18" i="31"/>
  <c r="AO18" i="31" s="1"/>
  <c r="P18" i="31"/>
  <c r="X18" i="31" s="1"/>
  <c r="AF18" i="31" s="1"/>
  <c r="AN18" i="31" s="1"/>
  <c r="O18" i="31"/>
  <c r="W18" i="31" s="1"/>
  <c r="AE18" i="31" s="1"/>
  <c r="AM18" i="31" s="1"/>
  <c r="N18" i="31"/>
  <c r="V18" i="31" s="1"/>
  <c r="AD18" i="31" s="1"/>
  <c r="AL18" i="31" s="1"/>
  <c r="M18" i="31"/>
  <c r="U18" i="31" s="1"/>
  <c r="AC18" i="31"/>
  <c r="AK18" i="31" s="1"/>
  <c r="L18" i="31"/>
  <c r="K18" i="31"/>
  <c r="R10" i="31"/>
  <c r="Z10" i="31" s="1"/>
  <c r="AH10" i="31" s="1"/>
  <c r="AP10" i="31" s="1"/>
  <c r="Q10" i="31"/>
  <c r="Y10" i="31" s="1"/>
  <c r="AG10" i="31" s="1"/>
  <c r="AO10" i="31" s="1"/>
  <c r="P10" i="31"/>
  <c r="X10" i="31" s="1"/>
  <c r="AF10" i="31" s="1"/>
  <c r="AN10" i="31" s="1"/>
  <c r="O10" i="31"/>
  <c r="W10" i="31" s="1"/>
  <c r="AE10" i="31" s="1"/>
  <c r="AM10" i="31" s="1"/>
  <c r="N10" i="31"/>
  <c r="V10" i="31" s="1"/>
  <c r="AD10" i="31" s="1"/>
  <c r="AL10" i="31" s="1"/>
  <c r="M10" i="31"/>
  <c r="U10" i="31" s="1"/>
  <c r="AC10" i="31"/>
  <c r="AK10" i="31" s="1"/>
  <c r="L10" i="31"/>
  <c r="K10" i="31"/>
  <c r="R9" i="31"/>
  <c r="Z9" i="31" s="1"/>
  <c r="AH9" i="31" s="1"/>
  <c r="AP9" i="31" s="1"/>
  <c r="Q9" i="31"/>
  <c r="Y9" i="31" s="1"/>
  <c r="AG9" i="31" s="1"/>
  <c r="AO9" i="31" s="1"/>
  <c r="P9" i="31"/>
  <c r="X9" i="31" s="1"/>
  <c r="AF9" i="31" s="1"/>
  <c r="AN9" i="31" s="1"/>
  <c r="O9" i="31"/>
  <c r="W9" i="31" s="1"/>
  <c r="AE9" i="31"/>
  <c r="AM9" i="31" s="1"/>
  <c r="N9" i="31"/>
  <c r="V9" i="31" s="1"/>
  <c r="AD9" i="31" s="1"/>
  <c r="AL9" i="31" s="1"/>
  <c r="M9" i="31"/>
  <c r="U9" i="31" s="1"/>
  <c r="AC9" i="31"/>
  <c r="AK9" i="31" s="1"/>
  <c r="L9" i="31"/>
  <c r="K9" i="31"/>
  <c r="R8" i="31"/>
  <c r="Z8" i="31" s="1"/>
  <c r="AH8" i="31" s="1"/>
  <c r="AP8" i="31" s="1"/>
  <c r="Q8" i="31"/>
  <c r="Y8" i="31" s="1"/>
  <c r="AG8" i="31"/>
  <c r="AO8" i="31" s="1"/>
  <c r="P8" i="31"/>
  <c r="X8" i="31" s="1"/>
  <c r="AF8" i="31" s="1"/>
  <c r="AN8" i="31" s="1"/>
  <c r="O8" i="31"/>
  <c r="W8" i="31" s="1"/>
  <c r="AE8" i="31"/>
  <c r="AM8" i="31" s="1"/>
  <c r="N8" i="31"/>
  <c r="V8" i="31" s="1"/>
  <c r="AD8" i="31" s="1"/>
  <c r="AL8" i="31" s="1"/>
  <c r="M8" i="31"/>
  <c r="U8" i="31" s="1"/>
  <c r="AC8" i="31" s="1"/>
  <c r="AK8" i="31" s="1"/>
  <c r="L8" i="31"/>
  <c r="K8" i="31"/>
  <c r="R7" i="31"/>
  <c r="Z7" i="31" s="1"/>
  <c r="AH7" i="31" s="1"/>
  <c r="AP7" i="31" s="1"/>
  <c r="Q7" i="31"/>
  <c r="Y7" i="31" s="1"/>
  <c r="AG7" i="31"/>
  <c r="AO7" i="31" s="1"/>
  <c r="P7" i="31"/>
  <c r="X7" i="31" s="1"/>
  <c r="AF7" i="31" s="1"/>
  <c r="AN7" i="31" s="1"/>
  <c r="O7" i="31"/>
  <c r="W7" i="31" s="1"/>
  <c r="AE7" i="31" s="1"/>
  <c r="AM7" i="31" s="1"/>
  <c r="N7" i="31"/>
  <c r="V7" i="31" s="1"/>
  <c r="AD7" i="31" s="1"/>
  <c r="AL7" i="31" s="1"/>
  <c r="M7" i="31"/>
  <c r="U7" i="31" s="1"/>
  <c r="AC7" i="31" s="1"/>
  <c r="AK7" i="31" s="1"/>
  <c r="L7" i="31"/>
  <c r="K7" i="31"/>
  <c r="S7" i="31" s="1"/>
  <c r="AA7" i="31"/>
  <c r="AI7" i="31" s="1"/>
  <c r="B68" i="38" s="1"/>
  <c r="A2" i="28"/>
  <c r="B1" i="30"/>
  <c r="D7" i="28"/>
  <c r="E7" i="28"/>
  <c r="F7" i="28"/>
  <c r="G7" i="28"/>
  <c r="H7" i="28"/>
  <c r="I7" i="28"/>
  <c r="J7" i="28"/>
  <c r="C93" i="34"/>
  <c r="D93" i="34" s="1"/>
  <c r="E93" i="34"/>
  <c r="E98" i="34" s="1"/>
  <c r="D98" i="34"/>
  <c r="C98" i="34"/>
  <c r="B98" i="34"/>
  <c r="D97" i="34"/>
  <c r="C97" i="34"/>
  <c r="B97" i="34"/>
  <c r="E96" i="34"/>
  <c r="D96" i="34"/>
  <c r="C96" i="34"/>
  <c r="B96" i="34"/>
  <c r="D95" i="34"/>
  <c r="C95" i="34"/>
  <c r="B95" i="34"/>
  <c r="D90" i="34"/>
  <c r="C90" i="34"/>
  <c r="B90" i="34"/>
  <c r="B68" i="34"/>
  <c r="O123" i="32"/>
  <c r="M123" i="32"/>
  <c r="L123" i="32"/>
  <c r="K123" i="32"/>
  <c r="J123" i="32"/>
  <c r="O121" i="32"/>
  <c r="M121" i="32"/>
  <c r="J121" i="32"/>
  <c r="O120" i="32"/>
  <c r="M120" i="32"/>
  <c r="J120" i="32"/>
  <c r="O118" i="32"/>
  <c r="M118" i="32"/>
  <c r="J118" i="32"/>
  <c r="O117" i="32"/>
  <c r="M117" i="32"/>
  <c r="J117" i="32"/>
  <c r="O115" i="32"/>
  <c r="M115" i="32"/>
  <c r="J115" i="32"/>
  <c r="O114" i="32"/>
  <c r="M114" i="32"/>
  <c r="J114" i="32"/>
  <c r="O112" i="32"/>
  <c r="M112" i="32"/>
  <c r="J112" i="32"/>
  <c r="O111" i="32"/>
  <c r="M111" i="32"/>
  <c r="J111" i="32"/>
  <c r="O109" i="32"/>
  <c r="M109" i="32"/>
  <c r="L109" i="32"/>
  <c r="K109" i="32"/>
  <c r="J109" i="32"/>
  <c r="O108" i="32"/>
  <c r="M108" i="32"/>
  <c r="L108" i="32"/>
  <c r="K108" i="32"/>
  <c r="J108" i="32"/>
  <c r="O106" i="32"/>
  <c r="M106" i="32"/>
  <c r="J106" i="32"/>
  <c r="O105" i="32"/>
  <c r="M105" i="32"/>
  <c r="J105" i="32"/>
  <c r="O103" i="32"/>
  <c r="M103" i="32"/>
  <c r="L103" i="32"/>
  <c r="K103" i="32"/>
  <c r="J103" i="32"/>
  <c r="O102" i="32"/>
  <c r="M102" i="32"/>
  <c r="L102" i="32"/>
  <c r="K102" i="32"/>
  <c r="J102" i="32"/>
  <c r="O101" i="32"/>
  <c r="M101" i="32"/>
  <c r="L101" i="32"/>
  <c r="K101" i="32"/>
  <c r="J101" i="32"/>
  <c r="O99" i="32"/>
  <c r="M99" i="32"/>
  <c r="J99" i="32"/>
  <c r="O98" i="32"/>
  <c r="M98" i="32"/>
  <c r="J98" i="32"/>
  <c r="O97" i="32"/>
  <c r="M97" i="32"/>
  <c r="J97" i="32"/>
  <c r="M95" i="32"/>
  <c r="J95" i="32"/>
  <c r="M94" i="32"/>
  <c r="J94" i="32"/>
  <c r="M92" i="32"/>
  <c r="J92" i="32"/>
  <c r="M91" i="32"/>
  <c r="J91" i="32"/>
  <c r="M90" i="32"/>
  <c r="J90" i="32"/>
  <c r="M88" i="32"/>
  <c r="L88" i="32"/>
  <c r="K88" i="32"/>
  <c r="J88" i="32"/>
  <c r="M87" i="32"/>
  <c r="L87" i="32"/>
  <c r="K87" i="32"/>
  <c r="J87" i="32"/>
  <c r="M86" i="32"/>
  <c r="L86" i="32"/>
  <c r="K86" i="32"/>
  <c r="J86" i="32"/>
  <c r="M84" i="32"/>
  <c r="J84" i="32"/>
  <c r="M83" i="32"/>
  <c r="J83" i="32"/>
  <c r="M82" i="32"/>
  <c r="J82" i="32"/>
  <c r="M80" i="32"/>
  <c r="J80" i="32"/>
  <c r="M79" i="32"/>
  <c r="J79" i="32"/>
  <c r="M78" i="32"/>
  <c r="J78" i="32"/>
  <c r="M76" i="32"/>
  <c r="J76" i="32"/>
  <c r="M75" i="32"/>
  <c r="J75" i="32"/>
  <c r="M74" i="32"/>
  <c r="J74" i="32"/>
  <c r="M72" i="32"/>
  <c r="J72" i="32"/>
  <c r="M71" i="32"/>
  <c r="J71" i="32"/>
  <c r="M70" i="32"/>
  <c r="J70" i="32"/>
  <c r="AA123" i="32"/>
  <c r="Y123" i="32"/>
  <c r="X123" i="32"/>
  <c r="W123" i="32"/>
  <c r="V123" i="32"/>
  <c r="AA121" i="32"/>
  <c r="Y121" i="32"/>
  <c r="V121" i="32"/>
  <c r="AA120" i="32"/>
  <c r="Y120" i="32"/>
  <c r="V120" i="32"/>
  <c r="AA118" i="32"/>
  <c r="Y118" i="32"/>
  <c r="V118" i="32"/>
  <c r="AA117" i="32"/>
  <c r="Y117" i="32"/>
  <c r="V117" i="32"/>
  <c r="AA115" i="32"/>
  <c r="Y115" i="32"/>
  <c r="V115" i="32"/>
  <c r="AA114" i="32"/>
  <c r="Y114" i="32"/>
  <c r="V114" i="32"/>
  <c r="AA112" i="32"/>
  <c r="Y112" i="32"/>
  <c r="V112" i="32"/>
  <c r="AA111" i="32"/>
  <c r="Y111" i="32"/>
  <c r="V111" i="32"/>
  <c r="AA108" i="32"/>
  <c r="Y108" i="32"/>
  <c r="X108" i="32"/>
  <c r="W108" i="32"/>
  <c r="V108" i="32"/>
  <c r="AA106" i="32"/>
  <c r="Y106" i="32"/>
  <c r="V106" i="32"/>
  <c r="AA103" i="32"/>
  <c r="Y103" i="32"/>
  <c r="X103" i="32"/>
  <c r="W103" i="32"/>
  <c r="V103" i="32"/>
  <c r="AA102" i="32"/>
  <c r="Y102" i="32"/>
  <c r="X102" i="32"/>
  <c r="W102" i="32"/>
  <c r="V102" i="32"/>
  <c r="AA101" i="32"/>
  <c r="Y101" i="32"/>
  <c r="X101" i="32"/>
  <c r="W101" i="32"/>
  <c r="V101" i="32"/>
  <c r="AA99" i="32"/>
  <c r="Y99" i="32"/>
  <c r="AA98" i="32"/>
  <c r="AA97" i="32"/>
  <c r="Y97" i="32"/>
  <c r="V97" i="32"/>
  <c r="Y95" i="32"/>
  <c r="V95" i="32"/>
  <c r="Y92" i="32"/>
  <c r="V92" i="32"/>
  <c r="Y91" i="32"/>
  <c r="V91" i="32"/>
  <c r="V90" i="32"/>
  <c r="Y88" i="32"/>
  <c r="X88" i="32"/>
  <c r="W88" i="32"/>
  <c r="Y87" i="32"/>
  <c r="X87" i="32"/>
  <c r="W87" i="32"/>
  <c r="V87" i="32"/>
  <c r="X86" i="32"/>
  <c r="W86" i="32"/>
  <c r="Y84" i="32"/>
  <c r="Y83" i="32"/>
  <c r="Y80" i="32"/>
  <c r="Y79" i="32"/>
  <c r="Y74" i="32"/>
  <c r="V74" i="32"/>
  <c r="Y71" i="32"/>
  <c r="V71" i="32"/>
  <c r="AG123" i="32"/>
  <c r="AE123" i="32"/>
  <c r="AD123" i="32"/>
  <c r="AC123" i="32"/>
  <c r="AB123" i="32"/>
  <c r="AG121" i="32"/>
  <c r="AE121" i="32"/>
  <c r="AB121" i="32"/>
  <c r="AG120" i="32"/>
  <c r="AE120" i="32"/>
  <c r="AB120" i="32"/>
  <c r="AG118" i="32"/>
  <c r="AE118" i="32"/>
  <c r="AB118" i="32"/>
  <c r="AG117" i="32"/>
  <c r="AE117" i="32"/>
  <c r="AB117" i="32"/>
  <c r="AG115" i="32"/>
  <c r="AE115" i="32"/>
  <c r="AB115" i="32"/>
  <c r="AG114" i="32"/>
  <c r="AE114" i="32"/>
  <c r="AB114" i="32"/>
  <c r="AG112" i="32"/>
  <c r="AE112" i="32"/>
  <c r="AB112" i="32"/>
  <c r="AG111" i="32"/>
  <c r="AE111" i="32"/>
  <c r="AB111" i="32"/>
  <c r="AG108" i="32"/>
  <c r="AE108" i="32"/>
  <c r="AD108" i="32"/>
  <c r="AC108" i="32"/>
  <c r="AB108" i="32"/>
  <c r="AG106" i="32"/>
  <c r="AE106" i="32"/>
  <c r="AB106" i="32"/>
  <c r="AG103" i="32"/>
  <c r="AE103" i="32"/>
  <c r="AD103" i="32"/>
  <c r="AC103" i="32"/>
  <c r="AB103" i="32"/>
  <c r="AG102" i="32"/>
  <c r="AE102" i="32"/>
  <c r="AD102" i="32"/>
  <c r="AC102" i="32"/>
  <c r="AB102" i="32"/>
  <c r="AG101" i="32"/>
  <c r="AE101" i="32"/>
  <c r="AD101" i="32"/>
  <c r="AC101" i="32"/>
  <c r="AB101" i="32"/>
  <c r="AG99" i="32"/>
  <c r="AE99" i="32"/>
  <c r="AG98" i="32"/>
  <c r="AG97" i="32"/>
  <c r="AE97" i="32"/>
  <c r="AB97" i="32"/>
  <c r="AE95" i="32"/>
  <c r="AB95" i="32"/>
  <c r="AE92" i="32"/>
  <c r="AB92" i="32"/>
  <c r="AE91" i="32"/>
  <c r="AB91" i="32"/>
  <c r="AB90" i="32"/>
  <c r="AE88" i="32"/>
  <c r="AD88" i="32"/>
  <c r="AC88" i="32"/>
  <c r="AE87" i="32"/>
  <c r="AD87" i="32"/>
  <c r="AC87" i="32"/>
  <c r="AB87" i="32"/>
  <c r="AD86" i="32"/>
  <c r="AC86" i="32"/>
  <c r="AE84" i="32"/>
  <c r="AE83" i="32"/>
  <c r="AE80" i="32"/>
  <c r="AE79" i="32"/>
  <c r="AE74" i="32"/>
  <c r="AB74" i="32"/>
  <c r="AE71" i="32"/>
  <c r="AB71" i="32"/>
  <c r="U123" i="32"/>
  <c r="S123" i="32"/>
  <c r="R123" i="32"/>
  <c r="Q123" i="32"/>
  <c r="P123" i="32"/>
  <c r="U121" i="32"/>
  <c r="S121" i="32"/>
  <c r="P121" i="32"/>
  <c r="U120" i="32"/>
  <c r="S120" i="32"/>
  <c r="P120" i="32"/>
  <c r="AF123" i="32"/>
  <c r="Z123" i="32"/>
  <c r="T123" i="32"/>
  <c r="N123" i="32"/>
  <c r="AF122" i="32"/>
  <c r="Z122" i="32"/>
  <c r="T122" i="32"/>
  <c r="O122" i="32"/>
  <c r="U122" i="32" s="1"/>
  <c r="AA122" i="32" s="1"/>
  <c r="AG122" i="32" s="1"/>
  <c r="N122" i="32"/>
  <c r="M122" i="32"/>
  <c r="S122" i="32" s="1"/>
  <c r="Y122" i="32" s="1"/>
  <c r="AE122" i="32" s="1"/>
  <c r="L122" i="32"/>
  <c r="R122" i="32" s="1"/>
  <c r="X122" i="32" s="1"/>
  <c r="AD122" i="32" s="1"/>
  <c r="K122" i="32"/>
  <c r="Q122" i="32" s="1"/>
  <c r="W122" i="32" s="1"/>
  <c r="AC122" i="32" s="1"/>
  <c r="J122" i="32"/>
  <c r="P122" i="32" s="1"/>
  <c r="V122" i="32" s="1"/>
  <c r="AB122" i="32" s="1"/>
  <c r="AF121" i="32"/>
  <c r="AD121" i="32"/>
  <c r="AC121" i="32"/>
  <c r="Z121" i="32"/>
  <c r="X121" i="32"/>
  <c r="W121" i="32"/>
  <c r="T121" i="32"/>
  <c r="R121" i="32"/>
  <c r="Q121" i="32"/>
  <c r="N121" i="32"/>
  <c r="L121" i="32"/>
  <c r="K121" i="32"/>
  <c r="AF120" i="32"/>
  <c r="AD120" i="32"/>
  <c r="AC120" i="32"/>
  <c r="Z120" i="32"/>
  <c r="X120" i="32"/>
  <c r="W120" i="32"/>
  <c r="T120" i="32"/>
  <c r="R120" i="32"/>
  <c r="Q120" i="32"/>
  <c r="N120" i="32"/>
  <c r="L120" i="32"/>
  <c r="K120" i="32"/>
  <c r="AF119" i="32"/>
  <c r="AD119" i="32"/>
  <c r="AC119" i="32"/>
  <c r="Z119" i="32"/>
  <c r="X119" i="32"/>
  <c r="W119" i="32"/>
  <c r="T119" i="32"/>
  <c r="R119" i="32"/>
  <c r="Q119" i="32"/>
  <c r="O119" i="32"/>
  <c r="U119" i="32" s="1"/>
  <c r="AA119" i="32" s="1"/>
  <c r="AG119" i="32" s="1"/>
  <c r="N119" i="32"/>
  <c r="M119" i="32"/>
  <c r="S119" i="32" s="1"/>
  <c r="Y119" i="32" s="1"/>
  <c r="AE119" i="32" s="1"/>
  <c r="L119" i="32"/>
  <c r="K119" i="32"/>
  <c r="J119" i="32"/>
  <c r="P119" i="32" s="1"/>
  <c r="V119" i="32" s="1"/>
  <c r="AB119" i="32" s="1"/>
  <c r="AF118" i="32"/>
  <c r="AD118" i="32"/>
  <c r="AC118" i="32"/>
  <c r="Z118" i="32"/>
  <c r="X118" i="32"/>
  <c r="W118" i="32"/>
  <c r="U118" i="32"/>
  <c r="T118" i="32"/>
  <c r="S118" i="32"/>
  <c r="R118" i="32"/>
  <c r="Q118" i="32"/>
  <c r="P118" i="32"/>
  <c r="N118" i="32"/>
  <c r="L118" i="32"/>
  <c r="K118" i="32"/>
  <c r="AF117" i="32"/>
  <c r="AD117" i="32"/>
  <c r="AC117" i="32"/>
  <c r="Z117" i="32"/>
  <c r="X117" i="32"/>
  <c r="W117" i="32"/>
  <c r="U117" i="32"/>
  <c r="T117" i="32"/>
  <c r="S117" i="32"/>
  <c r="R117" i="32"/>
  <c r="Q117" i="32"/>
  <c r="P117" i="32"/>
  <c r="N117" i="32"/>
  <c r="L117" i="32"/>
  <c r="K117" i="32"/>
  <c r="AF116" i="32"/>
  <c r="Z116" i="32"/>
  <c r="T116" i="32"/>
  <c r="O116" i="32"/>
  <c r="U116" i="32" s="1"/>
  <c r="AA116" i="32" s="1"/>
  <c r="AG116" i="32" s="1"/>
  <c r="N116" i="32"/>
  <c r="M116" i="32"/>
  <c r="S116" i="32" s="1"/>
  <c r="Y116" i="32" s="1"/>
  <c r="AE116" i="32" s="1"/>
  <c r="L116" i="32"/>
  <c r="R116" i="32" s="1"/>
  <c r="X116" i="32" s="1"/>
  <c r="AD116" i="32" s="1"/>
  <c r="K116" i="32"/>
  <c r="Q116" i="32" s="1"/>
  <c r="W116" i="32" s="1"/>
  <c r="AC116" i="32" s="1"/>
  <c r="J116" i="32"/>
  <c r="P116" i="32" s="1"/>
  <c r="V116" i="32" s="1"/>
  <c r="AB116" i="32" s="1"/>
  <c r="U115" i="32"/>
  <c r="S115" i="32"/>
  <c r="P115" i="32"/>
  <c r="U114" i="32"/>
  <c r="S114" i="32"/>
  <c r="P114" i="32"/>
  <c r="C93" i="36"/>
  <c r="D93" i="36"/>
  <c r="E93" i="36" s="1"/>
  <c r="C98" i="36"/>
  <c r="B98" i="36"/>
  <c r="D97" i="36"/>
  <c r="C97" i="36"/>
  <c r="B97" i="36"/>
  <c r="C96" i="36"/>
  <c r="B96" i="36"/>
  <c r="D95" i="36"/>
  <c r="C95" i="36"/>
  <c r="C93" i="37"/>
  <c r="C93" i="38"/>
  <c r="D93" i="38"/>
  <c r="D96" i="38" s="1"/>
  <c r="C93" i="35"/>
  <c r="D93" i="35" s="1"/>
  <c r="B98" i="35"/>
  <c r="C97" i="35"/>
  <c r="B97" i="35"/>
  <c r="B96" i="35"/>
  <c r="C95" i="35"/>
  <c r="AG67" i="32"/>
  <c r="AF67" i="32"/>
  <c r="AE67" i="32"/>
  <c r="AD67" i="32"/>
  <c r="AC67" i="32"/>
  <c r="AB67" i="32"/>
  <c r="AG65" i="32"/>
  <c r="AF65" i="32"/>
  <c r="AE65" i="32"/>
  <c r="AD65" i="32"/>
  <c r="AC65" i="32"/>
  <c r="AB65" i="32"/>
  <c r="AG64" i="32"/>
  <c r="AF64" i="32"/>
  <c r="AE64" i="32"/>
  <c r="AD64" i="32"/>
  <c r="AC64" i="32"/>
  <c r="AB64" i="32"/>
  <c r="AG62" i="32"/>
  <c r="AF62" i="32"/>
  <c r="AE62" i="32"/>
  <c r="AD62" i="32"/>
  <c r="AC62" i="32"/>
  <c r="AB62" i="32"/>
  <c r="AG61" i="32"/>
  <c r="AF61" i="32"/>
  <c r="AE61" i="32"/>
  <c r="AD61" i="32"/>
  <c r="AC61" i="32"/>
  <c r="AB61" i="32"/>
  <c r="AG60" i="32"/>
  <c r="AF60" i="32"/>
  <c r="AE60" i="32"/>
  <c r="AD60" i="32"/>
  <c r="AC60" i="32"/>
  <c r="AB60" i="32"/>
  <c r="AE50" i="32"/>
  <c r="AB50" i="32"/>
  <c r="AE49" i="32"/>
  <c r="AB49" i="32"/>
  <c r="AE48" i="32"/>
  <c r="AE38" i="32"/>
  <c r="AB38" i="32"/>
  <c r="AE37" i="32"/>
  <c r="AB37" i="32"/>
  <c r="AE36" i="32"/>
  <c r="AA67" i="32"/>
  <c r="Z67" i="32"/>
  <c r="Y67" i="32"/>
  <c r="X67" i="32"/>
  <c r="W67" i="32"/>
  <c r="V67" i="32"/>
  <c r="AA65" i="32"/>
  <c r="Z65" i="32"/>
  <c r="Y65" i="32"/>
  <c r="X65" i="32"/>
  <c r="W65" i="32"/>
  <c r="V65" i="32"/>
  <c r="AA64" i="32"/>
  <c r="Z64" i="32"/>
  <c r="Y64" i="32"/>
  <c r="X64" i="32"/>
  <c r="W64" i="32"/>
  <c r="V64" i="32"/>
  <c r="AA62" i="32"/>
  <c r="Z62" i="32"/>
  <c r="Y62" i="32"/>
  <c r="X62" i="32"/>
  <c r="W62" i="32"/>
  <c r="V62" i="32"/>
  <c r="AA61" i="32"/>
  <c r="Z61" i="32"/>
  <c r="Y61" i="32"/>
  <c r="X61" i="32"/>
  <c r="W61" i="32"/>
  <c r="V61" i="32"/>
  <c r="AA60" i="32"/>
  <c r="Z60" i="32"/>
  <c r="Y60" i="32"/>
  <c r="X60" i="32"/>
  <c r="W60" i="32"/>
  <c r="V60" i="32"/>
  <c r="Y50" i="32"/>
  <c r="V50" i="32"/>
  <c r="Y49" i="32"/>
  <c r="V49" i="32"/>
  <c r="Y48" i="32"/>
  <c r="Y38" i="32"/>
  <c r="V38" i="32"/>
  <c r="Y37" i="32"/>
  <c r="V37" i="32"/>
  <c r="Y36" i="32"/>
  <c r="U112" i="32"/>
  <c r="S112" i="32"/>
  <c r="P112" i="32"/>
  <c r="U111" i="32"/>
  <c r="S111" i="32"/>
  <c r="P111" i="32"/>
  <c r="U109" i="32"/>
  <c r="AA109" i="32" s="1"/>
  <c r="AG109" i="32" s="1"/>
  <c r="S109" i="32"/>
  <c r="Y109" i="32" s="1"/>
  <c r="AE109" i="32" s="1"/>
  <c r="R109" i="32"/>
  <c r="X109" i="32" s="1"/>
  <c r="AD109" i="32" s="1"/>
  <c r="Q109" i="32"/>
  <c r="W109" i="32" s="1"/>
  <c r="AC109" i="32" s="1"/>
  <c r="P109" i="32"/>
  <c r="V109" i="32" s="1"/>
  <c r="AB109" i="32" s="1"/>
  <c r="U108" i="32"/>
  <c r="S108" i="32"/>
  <c r="R108" i="32"/>
  <c r="Q108" i="32"/>
  <c r="P108" i="32"/>
  <c r="U106" i="32"/>
  <c r="S106" i="32"/>
  <c r="P106" i="32"/>
  <c r="U105" i="32"/>
  <c r="AA105" i="32" s="1"/>
  <c r="AG105" i="32" s="1"/>
  <c r="S105" i="32"/>
  <c r="Y105" i="32" s="1"/>
  <c r="AE105" i="32" s="1"/>
  <c r="P105" i="32"/>
  <c r="V105" i="32" s="1"/>
  <c r="AB105" i="32" s="1"/>
  <c r="U103" i="32"/>
  <c r="S103" i="32"/>
  <c r="R103" i="32"/>
  <c r="Q103" i="32"/>
  <c r="P103" i="32"/>
  <c r="U102" i="32"/>
  <c r="S102" i="32"/>
  <c r="R102" i="32"/>
  <c r="Q102" i="32"/>
  <c r="P102" i="32"/>
  <c r="U101" i="32"/>
  <c r="S101" i="32"/>
  <c r="R101" i="32"/>
  <c r="Q101" i="32"/>
  <c r="P101" i="32"/>
  <c r="U99" i="32"/>
  <c r="S99" i="32"/>
  <c r="P99" i="32"/>
  <c r="V99" i="32" s="1"/>
  <c r="AB99" i="32" s="1"/>
  <c r="U98" i="32"/>
  <c r="S98" i="32"/>
  <c r="Y98" i="32" s="1"/>
  <c r="AE98" i="32" s="1"/>
  <c r="P98" i="32"/>
  <c r="V98" i="32" s="1"/>
  <c r="AB98" i="32" s="1"/>
  <c r="U97" i="32"/>
  <c r="S97" i="32"/>
  <c r="P97" i="32"/>
  <c r="S95" i="32"/>
  <c r="P95" i="32"/>
  <c r="S94" i="32"/>
  <c r="Y94" i="32" s="1"/>
  <c r="AE94" i="32" s="1"/>
  <c r="P94" i="32"/>
  <c r="V94" i="32" s="1"/>
  <c r="AB94" i="32" s="1"/>
  <c r="S92" i="32"/>
  <c r="P92" i="32"/>
  <c r="S91" i="32"/>
  <c r="P91" i="32"/>
  <c r="S90" i="32"/>
  <c r="Y90" i="32" s="1"/>
  <c r="AE90" i="32" s="1"/>
  <c r="P90" i="32"/>
  <c r="S88" i="32"/>
  <c r="R88" i="32"/>
  <c r="Q88" i="32"/>
  <c r="P88" i="32"/>
  <c r="V88" i="32" s="1"/>
  <c r="AB88" i="32" s="1"/>
  <c r="S87" i="32"/>
  <c r="R87" i="32"/>
  <c r="Q87" i="32"/>
  <c r="P87" i="32"/>
  <c r="S86" i="32"/>
  <c r="Y86" i="32" s="1"/>
  <c r="AE86" i="32" s="1"/>
  <c r="R86" i="32"/>
  <c r="Q86" i="32"/>
  <c r="P86" i="32"/>
  <c r="V86" i="32" s="1"/>
  <c r="AB86" i="32" s="1"/>
  <c r="S84" i="32"/>
  <c r="P84" i="32"/>
  <c r="V84" i="32" s="1"/>
  <c r="AB84" i="32" s="1"/>
  <c r="S83" i="32"/>
  <c r="P83" i="32"/>
  <c r="V83" i="32" s="1"/>
  <c r="AB83" i="32" s="1"/>
  <c r="S82" i="32"/>
  <c r="Y82" i="32" s="1"/>
  <c r="AE82" i="32" s="1"/>
  <c r="P82" i="32"/>
  <c r="V82" i="32" s="1"/>
  <c r="AB82" i="32" s="1"/>
  <c r="S80" i="32"/>
  <c r="P80" i="32"/>
  <c r="V80" i="32" s="1"/>
  <c r="AB80" i="32" s="1"/>
  <c r="S79" i="32"/>
  <c r="P79" i="32"/>
  <c r="V79" i="32" s="1"/>
  <c r="AB79" i="32" s="1"/>
  <c r="S78" i="32"/>
  <c r="Y78" i="32" s="1"/>
  <c r="AE78" i="32" s="1"/>
  <c r="P78" i="32"/>
  <c r="V78" i="32" s="1"/>
  <c r="AB78" i="32" s="1"/>
  <c r="S76" i="32"/>
  <c r="Y76" i="32" s="1"/>
  <c r="AE76" i="32" s="1"/>
  <c r="P76" i="32"/>
  <c r="V76" i="32" s="1"/>
  <c r="AB76" i="32" s="1"/>
  <c r="S75" i="32"/>
  <c r="Y75" i="32" s="1"/>
  <c r="AE75" i="32" s="1"/>
  <c r="P75" i="32"/>
  <c r="V75" i="32" s="1"/>
  <c r="AB75" i="32" s="1"/>
  <c r="S74" i="32"/>
  <c r="P74" i="32"/>
  <c r="S72" i="32"/>
  <c r="Y72" i="32" s="1"/>
  <c r="AE72" i="32" s="1"/>
  <c r="P72" i="32"/>
  <c r="V72" i="32" s="1"/>
  <c r="AB72" i="32" s="1"/>
  <c r="S71" i="32"/>
  <c r="P71" i="32"/>
  <c r="S70" i="32"/>
  <c r="Y70" i="32" s="1"/>
  <c r="AE70" i="32" s="1"/>
  <c r="P70" i="32"/>
  <c r="V70" i="32" s="1"/>
  <c r="AB70" i="32" s="1"/>
  <c r="U67" i="32"/>
  <c r="T67" i="32"/>
  <c r="S67" i="32"/>
  <c r="R67" i="32"/>
  <c r="Q67" i="32"/>
  <c r="P67" i="32"/>
  <c r="U65" i="32"/>
  <c r="T65" i="32"/>
  <c r="S65" i="32"/>
  <c r="R65" i="32"/>
  <c r="Q65" i="32"/>
  <c r="P65" i="32"/>
  <c r="U64" i="32"/>
  <c r="T64" i="32"/>
  <c r="S64" i="32"/>
  <c r="R64" i="32"/>
  <c r="Q64" i="32"/>
  <c r="P64" i="32"/>
  <c r="U62" i="32"/>
  <c r="T62" i="32"/>
  <c r="S62" i="32"/>
  <c r="R62" i="32"/>
  <c r="Q62" i="32"/>
  <c r="P62" i="32"/>
  <c r="U61" i="32"/>
  <c r="T61" i="32"/>
  <c r="S61" i="32"/>
  <c r="R61" i="32"/>
  <c r="Q61" i="32"/>
  <c r="P61" i="32"/>
  <c r="U60" i="32"/>
  <c r="T60" i="32"/>
  <c r="S60" i="32"/>
  <c r="R60" i="32"/>
  <c r="Q60" i="32"/>
  <c r="P60" i="32"/>
  <c r="S50" i="32"/>
  <c r="P50" i="32"/>
  <c r="S49" i="32"/>
  <c r="P49" i="32"/>
  <c r="S48" i="32"/>
  <c r="S38" i="32"/>
  <c r="P38" i="32"/>
  <c r="S37" i="32"/>
  <c r="P37" i="32"/>
  <c r="S36" i="32"/>
  <c r="O68" i="32"/>
  <c r="U68" i="32" s="1"/>
  <c r="AA68" i="32" s="1"/>
  <c r="AG68" i="32" s="1"/>
  <c r="N68" i="32"/>
  <c r="T68" i="32" s="1"/>
  <c r="Z68" i="32" s="1"/>
  <c r="AF68" i="32" s="1"/>
  <c r="M68" i="32"/>
  <c r="S68" i="32" s="1"/>
  <c r="Y68" i="32" s="1"/>
  <c r="AE68" i="32" s="1"/>
  <c r="L68" i="32"/>
  <c r="R68" i="32" s="1"/>
  <c r="X68" i="32" s="1"/>
  <c r="AD68" i="32" s="1"/>
  <c r="K68" i="32"/>
  <c r="Q68" i="32" s="1"/>
  <c r="W68" i="32" s="1"/>
  <c r="AC68" i="32" s="1"/>
  <c r="J68" i="32"/>
  <c r="P68" i="32" s="1"/>
  <c r="V68" i="32" s="1"/>
  <c r="AB68" i="32" s="1"/>
  <c r="O67" i="32"/>
  <c r="N67" i="32"/>
  <c r="M67" i="32"/>
  <c r="L67" i="32"/>
  <c r="K67" i="32"/>
  <c r="J67" i="32"/>
  <c r="O65" i="32"/>
  <c r="N65" i="32"/>
  <c r="M65" i="32"/>
  <c r="L65" i="32"/>
  <c r="K65" i="32"/>
  <c r="J65" i="32"/>
  <c r="O64" i="32"/>
  <c r="N64" i="32"/>
  <c r="M64" i="32"/>
  <c r="L64" i="32"/>
  <c r="K64" i="32"/>
  <c r="J64" i="32"/>
  <c r="O62" i="32"/>
  <c r="N62" i="32"/>
  <c r="M62" i="32"/>
  <c r="L62" i="32"/>
  <c r="K62" i="32"/>
  <c r="J62" i="32"/>
  <c r="O61" i="32"/>
  <c r="N61" i="32"/>
  <c r="M61" i="32"/>
  <c r="L61" i="32"/>
  <c r="K61" i="32"/>
  <c r="J61" i="32"/>
  <c r="O60" i="32"/>
  <c r="N60" i="32"/>
  <c r="M60" i="32"/>
  <c r="L60" i="32"/>
  <c r="K60" i="32"/>
  <c r="J60" i="32"/>
  <c r="M58" i="32"/>
  <c r="S58" i="32" s="1"/>
  <c r="Y58" i="32" s="1"/>
  <c r="AE58" i="32" s="1"/>
  <c r="K58" i="32"/>
  <c r="Q58" i="32" s="1"/>
  <c r="W58" i="32" s="1"/>
  <c r="AC58" i="32" s="1"/>
  <c r="J58" i="32"/>
  <c r="P58" i="32" s="1"/>
  <c r="V58" i="32" s="1"/>
  <c r="AB58" i="32" s="1"/>
  <c r="M56" i="32"/>
  <c r="S56" i="32" s="1"/>
  <c r="Y56" i="32" s="1"/>
  <c r="AE56" i="32" s="1"/>
  <c r="K56" i="32"/>
  <c r="Q56" i="32" s="1"/>
  <c r="W56" i="32" s="1"/>
  <c r="AC56" i="32" s="1"/>
  <c r="J56" i="32"/>
  <c r="P56" i="32" s="1"/>
  <c r="V56" i="32" s="1"/>
  <c r="AB56" i="32" s="1"/>
  <c r="M54" i="32"/>
  <c r="S54" i="32" s="1"/>
  <c r="Y54" i="32" s="1"/>
  <c r="AE54" i="32" s="1"/>
  <c r="K54" i="32"/>
  <c r="Q54" i="32" s="1"/>
  <c r="W54" i="32" s="1"/>
  <c r="AC54" i="32" s="1"/>
  <c r="J54" i="32"/>
  <c r="P54" i="32" s="1"/>
  <c r="V54" i="32" s="1"/>
  <c r="AB54" i="32" s="1"/>
  <c r="M53" i="32"/>
  <c r="S53" i="32" s="1"/>
  <c r="Y53" i="32" s="1"/>
  <c r="AE53" i="32" s="1"/>
  <c r="K53" i="32"/>
  <c r="Q53" i="32" s="1"/>
  <c r="W53" i="32" s="1"/>
  <c r="AC53" i="32" s="1"/>
  <c r="J53" i="32"/>
  <c r="P53" i="32" s="1"/>
  <c r="V53" i="32" s="1"/>
  <c r="AB53" i="32" s="1"/>
  <c r="M52" i="32"/>
  <c r="S52" i="32" s="1"/>
  <c r="Y52" i="32" s="1"/>
  <c r="AE52" i="32" s="1"/>
  <c r="K52" i="32"/>
  <c r="Q52" i="32" s="1"/>
  <c r="W52" i="32" s="1"/>
  <c r="AC52" i="32" s="1"/>
  <c r="J52" i="32"/>
  <c r="P52" i="32" s="1"/>
  <c r="V52" i="32" s="1"/>
  <c r="AB52" i="32" s="1"/>
  <c r="M50" i="32"/>
  <c r="J50" i="32"/>
  <c r="M49" i="32"/>
  <c r="J49" i="32"/>
  <c r="M48" i="32"/>
  <c r="J48" i="32"/>
  <c r="P48" i="32" s="1"/>
  <c r="V48" i="32" s="1"/>
  <c r="AB48" i="32" s="1"/>
  <c r="M46" i="32"/>
  <c r="S46" i="32" s="1"/>
  <c r="Y46" i="32" s="1"/>
  <c r="AE46" i="32" s="1"/>
  <c r="K46" i="32"/>
  <c r="Q46" i="32" s="1"/>
  <c r="W46" i="32" s="1"/>
  <c r="AC46" i="32" s="1"/>
  <c r="J46" i="32"/>
  <c r="P46" i="32" s="1"/>
  <c r="V46" i="32" s="1"/>
  <c r="AB46" i="32" s="1"/>
  <c r="M45" i="32"/>
  <c r="S45" i="32" s="1"/>
  <c r="Y45" i="32" s="1"/>
  <c r="AE45" i="32" s="1"/>
  <c r="K45" i="32"/>
  <c r="Q45" i="32" s="1"/>
  <c r="W45" i="32" s="1"/>
  <c r="AC45" i="32" s="1"/>
  <c r="J45" i="32"/>
  <c r="P45" i="32" s="1"/>
  <c r="V45" i="32" s="1"/>
  <c r="AB45" i="32" s="1"/>
  <c r="M44" i="32"/>
  <c r="S44" i="32" s="1"/>
  <c r="Y44" i="32" s="1"/>
  <c r="AE44" i="32" s="1"/>
  <c r="K44" i="32"/>
  <c r="Q44" i="32" s="1"/>
  <c r="W44" i="32" s="1"/>
  <c r="AC44" i="32" s="1"/>
  <c r="J44" i="32"/>
  <c r="P44" i="32" s="1"/>
  <c r="V44" i="32" s="1"/>
  <c r="AB44" i="32" s="1"/>
  <c r="M42" i="32"/>
  <c r="S42" i="32" s="1"/>
  <c r="Y42" i="32" s="1"/>
  <c r="AE42" i="32" s="1"/>
  <c r="J42" i="32"/>
  <c r="P42" i="32" s="1"/>
  <c r="V42" i="32" s="1"/>
  <c r="AB42" i="32" s="1"/>
  <c r="M41" i="32"/>
  <c r="S41" i="32" s="1"/>
  <c r="Y41" i="32" s="1"/>
  <c r="AE41" i="32" s="1"/>
  <c r="J41" i="32"/>
  <c r="P41" i="32" s="1"/>
  <c r="V41" i="32" s="1"/>
  <c r="AB41" i="32" s="1"/>
  <c r="M40" i="32"/>
  <c r="S40" i="32" s="1"/>
  <c r="Y40" i="32" s="1"/>
  <c r="AE40" i="32" s="1"/>
  <c r="J40" i="32"/>
  <c r="P40" i="32" s="1"/>
  <c r="V40" i="32" s="1"/>
  <c r="AB40" i="32" s="1"/>
  <c r="M38" i="32"/>
  <c r="J38" i="32"/>
  <c r="M37" i="32"/>
  <c r="J37" i="32"/>
  <c r="M36" i="32"/>
  <c r="J36" i="32"/>
  <c r="P36" i="32" s="1"/>
  <c r="V36" i="32" s="1"/>
  <c r="AB36" i="32" s="1"/>
  <c r="M34" i="32"/>
  <c r="S34" i="32" s="1"/>
  <c r="Y34" i="32" s="1"/>
  <c r="AE34" i="32" s="1"/>
  <c r="K34" i="32"/>
  <c r="Q34" i="32" s="1"/>
  <c r="W34" i="32" s="1"/>
  <c r="AC34" i="32" s="1"/>
  <c r="J34" i="32"/>
  <c r="P34" i="32" s="1"/>
  <c r="V34" i="32" s="1"/>
  <c r="AB34" i="32" s="1"/>
  <c r="M33" i="32"/>
  <c r="S33" i="32" s="1"/>
  <c r="Y33" i="32" s="1"/>
  <c r="AE33" i="32" s="1"/>
  <c r="K33" i="32"/>
  <c r="Q33" i="32" s="1"/>
  <c r="W33" i="32" s="1"/>
  <c r="AC33" i="32" s="1"/>
  <c r="J33" i="32"/>
  <c r="P33" i="32" s="1"/>
  <c r="V33" i="32" s="1"/>
  <c r="AB33" i="32" s="1"/>
  <c r="M32" i="32"/>
  <c r="S32" i="32" s="1"/>
  <c r="Y32" i="32" s="1"/>
  <c r="AE32" i="32" s="1"/>
  <c r="K32" i="32"/>
  <c r="Q32" i="32" s="1"/>
  <c r="W32" i="32" s="1"/>
  <c r="AC32" i="32" s="1"/>
  <c r="J32" i="32"/>
  <c r="P32" i="32" s="1"/>
  <c r="V32" i="32" s="1"/>
  <c r="AB32" i="32" s="1"/>
  <c r="M30" i="32"/>
  <c r="S30" i="32" s="1"/>
  <c r="Y30" i="32" s="1"/>
  <c r="AE30" i="32" s="1"/>
  <c r="J30" i="32"/>
  <c r="P30" i="32" s="1"/>
  <c r="V30" i="32" s="1"/>
  <c r="AB30" i="32" s="1"/>
  <c r="M29" i="32"/>
  <c r="S29" i="32" s="1"/>
  <c r="Y29" i="32" s="1"/>
  <c r="AE29" i="32" s="1"/>
  <c r="J29" i="32"/>
  <c r="P29" i="32" s="1"/>
  <c r="V29" i="32" s="1"/>
  <c r="AB29" i="32" s="1"/>
  <c r="M28" i="32"/>
  <c r="S28" i="32" s="1"/>
  <c r="J28" i="32"/>
  <c r="P28" i="32" s="1"/>
  <c r="V28" i="32" s="1"/>
  <c r="AB28" i="32" s="1"/>
  <c r="B13" i="40"/>
  <c r="C18" i="40"/>
  <c r="D18" i="40"/>
  <c r="E18" i="40"/>
  <c r="F18" i="40"/>
  <c r="G18" i="40"/>
  <c r="C19" i="40"/>
  <c r="D19" i="40"/>
  <c r="E19" i="40"/>
  <c r="F19" i="40"/>
  <c r="G19" i="40"/>
  <c r="B2" i="39"/>
  <c r="G6" i="32"/>
  <c r="D6" i="39" s="1"/>
  <c r="C17" i="39" s="1"/>
  <c r="H6" i="32"/>
  <c r="D7" i="39" s="1"/>
  <c r="C96" i="39" s="1"/>
  <c r="I6" i="32"/>
  <c r="D8" i="39" s="1"/>
  <c r="C175" i="39" s="1"/>
  <c r="J6" i="32"/>
  <c r="D9" i="39" s="1"/>
  <c r="C254" i="39" s="1"/>
  <c r="K6" i="32"/>
  <c r="AB25" i="32" s="1"/>
  <c r="AC114" i="32"/>
  <c r="AD114" i="32"/>
  <c r="AC115" i="32"/>
  <c r="AD115" i="32"/>
  <c r="B68" i="37"/>
  <c r="W114" i="32"/>
  <c r="X114" i="32"/>
  <c r="W115" i="32"/>
  <c r="X115" i="32"/>
  <c r="B68" i="36"/>
  <c r="B90" i="36"/>
  <c r="C90" i="36"/>
  <c r="D90" i="36"/>
  <c r="E90" i="36"/>
  <c r="B95" i="36"/>
  <c r="Q114" i="32"/>
  <c r="R114" i="32"/>
  <c r="Q115" i="32"/>
  <c r="R115" i="32"/>
  <c r="B68" i="35"/>
  <c r="B90" i="35"/>
  <c r="C90" i="35"/>
  <c r="D90" i="35"/>
  <c r="B95" i="35"/>
  <c r="K114" i="32"/>
  <c r="L114" i="32"/>
  <c r="K115" i="32"/>
  <c r="L115" i="32"/>
  <c r="L6" i="32"/>
  <c r="M6" i="32"/>
  <c r="O6" i="32"/>
  <c r="P6" i="32"/>
  <c r="Q6" i="32"/>
  <c r="S6" i="32"/>
  <c r="W6" i="32" s="1"/>
  <c r="AA6" i="32" s="1"/>
  <c r="AE6" i="32" s="1"/>
  <c r="T6" i="32"/>
  <c r="U6" i="32"/>
  <c r="X6" i="32"/>
  <c r="Y6" i="32"/>
  <c r="AB6" i="32"/>
  <c r="AC6" i="32"/>
  <c r="G18" i="32"/>
  <c r="H18" i="32"/>
  <c r="I18" i="32"/>
  <c r="J18" i="32"/>
  <c r="G19" i="32"/>
  <c r="K28" i="32"/>
  <c r="L28" i="32"/>
  <c r="K29" i="32"/>
  <c r="L29" i="32"/>
  <c r="K30" i="32"/>
  <c r="L30" i="32"/>
  <c r="L32" i="32"/>
  <c r="L33" i="32"/>
  <c r="L34" i="32"/>
  <c r="K36" i="32"/>
  <c r="L36" i="32"/>
  <c r="K37" i="32"/>
  <c r="L37" i="32"/>
  <c r="K38" i="32"/>
  <c r="L38" i="32"/>
  <c r="K40" i="32"/>
  <c r="L40" i="32"/>
  <c r="K41" i="32"/>
  <c r="L41" i="32"/>
  <c r="K42" i="32"/>
  <c r="L42" i="32"/>
  <c r="L44" i="32"/>
  <c r="L45" i="32"/>
  <c r="L46" i="32"/>
  <c r="J47" i="32"/>
  <c r="K47" i="32"/>
  <c r="L47" i="32"/>
  <c r="K48" i="32"/>
  <c r="L48" i="32"/>
  <c r="K49" i="32"/>
  <c r="L49" i="32"/>
  <c r="K50" i="32"/>
  <c r="L50" i="32"/>
  <c r="J51" i="32"/>
  <c r="K51" i="32"/>
  <c r="L51" i="32"/>
  <c r="L52" i="32"/>
  <c r="L53" i="32"/>
  <c r="L54" i="32"/>
  <c r="J55" i="32"/>
  <c r="K55" i="32"/>
  <c r="L55" i="32"/>
  <c r="L56" i="32"/>
  <c r="J57" i="32"/>
  <c r="K57" i="32"/>
  <c r="L57" i="32"/>
  <c r="L58" i="32"/>
  <c r="J59" i="32"/>
  <c r="K59" i="32"/>
  <c r="L59" i="32"/>
  <c r="J63" i="32"/>
  <c r="K63" i="32"/>
  <c r="L63" i="32"/>
  <c r="J66" i="32"/>
  <c r="K66" i="32"/>
  <c r="L66" i="32"/>
  <c r="J69" i="32"/>
  <c r="K69" i="32"/>
  <c r="L69" i="32"/>
  <c r="K70" i="32"/>
  <c r="Q70" i="32" s="1"/>
  <c r="W70" i="32" s="1"/>
  <c r="AC70" i="32" s="1"/>
  <c r="L70" i="32"/>
  <c r="K71" i="32"/>
  <c r="L71" i="32"/>
  <c r="K72" i="32"/>
  <c r="Q72" i="32" s="1"/>
  <c r="W72" i="32" s="1"/>
  <c r="AC72" i="32" s="1"/>
  <c r="L72" i="32"/>
  <c r="J73" i="32"/>
  <c r="K73" i="32"/>
  <c r="L73" i="32"/>
  <c r="R73" i="32" s="1"/>
  <c r="X73" i="32" s="1"/>
  <c r="AD73" i="32" s="1"/>
  <c r="K74" i="32"/>
  <c r="L74" i="32"/>
  <c r="K75" i="32"/>
  <c r="L75" i="32"/>
  <c r="R75" i="32" s="1"/>
  <c r="X75" i="32" s="1"/>
  <c r="AD75" i="32" s="1"/>
  <c r="K76" i="32"/>
  <c r="L76" i="32"/>
  <c r="R76" i="32" s="1"/>
  <c r="X76" i="32" s="1"/>
  <c r="AD76" i="32" s="1"/>
  <c r="J77" i="32"/>
  <c r="K77" i="32"/>
  <c r="L77" i="32"/>
  <c r="K78" i="32"/>
  <c r="L78" i="32"/>
  <c r="K79" i="32"/>
  <c r="L79" i="32"/>
  <c r="K80" i="32"/>
  <c r="L80" i="32"/>
  <c r="J81" i="32"/>
  <c r="K81" i="32"/>
  <c r="L81" i="32"/>
  <c r="K82" i="32"/>
  <c r="L82" i="32"/>
  <c r="K83" i="32"/>
  <c r="L83" i="32"/>
  <c r="K84" i="32"/>
  <c r="L84" i="32"/>
  <c r="J85" i="32"/>
  <c r="K85" i="32"/>
  <c r="L85" i="32"/>
  <c r="J89" i="32"/>
  <c r="K89" i="32"/>
  <c r="L89" i="32"/>
  <c r="K90" i="32"/>
  <c r="L90" i="32"/>
  <c r="K91" i="32"/>
  <c r="L91" i="32"/>
  <c r="K92" i="32"/>
  <c r="L92" i="32"/>
  <c r="J93" i="32"/>
  <c r="K93" i="32"/>
  <c r="L93" i="32"/>
  <c r="K94" i="32"/>
  <c r="Q94" i="32" s="1"/>
  <c r="W94" i="32" s="1"/>
  <c r="AC94" i="32" s="1"/>
  <c r="L94" i="32"/>
  <c r="K95" i="32"/>
  <c r="L95" i="32"/>
  <c r="J96" i="32"/>
  <c r="K96" i="32"/>
  <c r="L96" i="32"/>
  <c r="K97" i="32"/>
  <c r="L97" i="32"/>
  <c r="K98" i="32"/>
  <c r="L98" i="32"/>
  <c r="K99" i="32"/>
  <c r="L99" i="32"/>
  <c r="J100" i="32"/>
  <c r="K100" i="32"/>
  <c r="L100" i="32"/>
  <c r="J104" i="32"/>
  <c r="K104" i="32"/>
  <c r="L104" i="32"/>
  <c r="K105" i="32"/>
  <c r="L105" i="32"/>
  <c r="K106" i="32"/>
  <c r="L106" i="32"/>
  <c r="J107" i="32"/>
  <c r="K107" i="32"/>
  <c r="L107" i="32"/>
  <c r="J110" i="32"/>
  <c r="K110" i="32"/>
  <c r="L110" i="32"/>
  <c r="K111" i="32"/>
  <c r="L111" i="32"/>
  <c r="K112" i="32"/>
  <c r="L112" i="32"/>
  <c r="J113" i="32"/>
  <c r="K113" i="32"/>
  <c r="L113" i="32"/>
  <c r="Q28" i="32"/>
  <c r="R28" i="32"/>
  <c r="Q29" i="32"/>
  <c r="R29" i="32"/>
  <c r="Q30" i="32"/>
  <c r="R30" i="32"/>
  <c r="R32" i="32"/>
  <c r="R33" i="32"/>
  <c r="R34" i="32"/>
  <c r="Q36" i="32"/>
  <c r="R36" i="32"/>
  <c r="Q37" i="32"/>
  <c r="R37" i="32"/>
  <c r="Q38" i="32"/>
  <c r="R38" i="32"/>
  <c r="Q40" i="32"/>
  <c r="R40" i="32"/>
  <c r="Q41" i="32"/>
  <c r="R41" i="32"/>
  <c r="Q42" i="32"/>
  <c r="R42" i="32"/>
  <c r="R44" i="32"/>
  <c r="R45" i="32"/>
  <c r="R46" i="32"/>
  <c r="P47" i="32"/>
  <c r="Q47" i="32"/>
  <c r="R47" i="32"/>
  <c r="Q48" i="32"/>
  <c r="R48" i="32"/>
  <c r="Q49" i="32"/>
  <c r="R49" i="32"/>
  <c r="Q50" i="32"/>
  <c r="R50" i="32"/>
  <c r="P51" i="32"/>
  <c r="Q51" i="32"/>
  <c r="R51" i="32"/>
  <c r="R52" i="32"/>
  <c r="R53" i="32"/>
  <c r="R54" i="32"/>
  <c r="P55" i="32"/>
  <c r="Q55" i="32"/>
  <c r="R55" i="32"/>
  <c r="R56" i="32"/>
  <c r="P57" i="32"/>
  <c r="Q57" i="32"/>
  <c r="R57" i="32"/>
  <c r="R58" i="32"/>
  <c r="P59" i="32"/>
  <c r="Q59" i="32"/>
  <c r="R59" i="32"/>
  <c r="P63" i="32"/>
  <c r="Q63" i="32"/>
  <c r="R63" i="32"/>
  <c r="P66" i="32"/>
  <c r="Q66" i="32"/>
  <c r="R66" i="32"/>
  <c r="P69" i="32"/>
  <c r="Q69" i="32"/>
  <c r="R69" i="32"/>
  <c r="R70" i="32"/>
  <c r="X70" i="32" s="1"/>
  <c r="AD70" i="32" s="1"/>
  <c r="Q71" i="32"/>
  <c r="R71" i="32"/>
  <c r="R72" i="32"/>
  <c r="X72" i="32" s="1"/>
  <c r="AD72" i="32" s="1"/>
  <c r="P73" i="32"/>
  <c r="Q73" i="32"/>
  <c r="W73" i="32" s="1"/>
  <c r="AC73" i="32" s="1"/>
  <c r="Q74" i="32"/>
  <c r="R74" i="32"/>
  <c r="Q75" i="32"/>
  <c r="W75" i="32" s="1"/>
  <c r="AC75" i="32" s="1"/>
  <c r="Q76" i="32"/>
  <c r="W76" i="32" s="1"/>
  <c r="AC76" i="32" s="1"/>
  <c r="P77" i="32"/>
  <c r="Q77" i="32"/>
  <c r="R77" i="32"/>
  <c r="Q78" i="32"/>
  <c r="R78" i="32"/>
  <c r="Q79" i="32"/>
  <c r="R79" i="32"/>
  <c r="Q80" i="32"/>
  <c r="R80" i="32"/>
  <c r="P81" i="32"/>
  <c r="Q81" i="32"/>
  <c r="R81" i="32"/>
  <c r="Q82" i="32"/>
  <c r="R82" i="32"/>
  <c r="Q83" i="32"/>
  <c r="R83" i="32"/>
  <c r="Q84" i="32"/>
  <c r="R84" i="32"/>
  <c r="P85" i="32"/>
  <c r="Q85" i="32"/>
  <c r="R85" i="32"/>
  <c r="P89" i="32"/>
  <c r="Q89" i="32"/>
  <c r="R89" i="32"/>
  <c r="Q90" i="32"/>
  <c r="R90" i="32"/>
  <c r="Q91" i="32"/>
  <c r="R91" i="32"/>
  <c r="Q92" i="32"/>
  <c r="R92" i="32"/>
  <c r="P93" i="32"/>
  <c r="Q93" i="32"/>
  <c r="R93" i="32"/>
  <c r="R94" i="32"/>
  <c r="Q95" i="32"/>
  <c r="R95" i="32"/>
  <c r="P96" i="32"/>
  <c r="Q96" i="32"/>
  <c r="R96" i="32"/>
  <c r="Q97" i="32"/>
  <c r="R97" i="32"/>
  <c r="Q98" i="32"/>
  <c r="R98" i="32"/>
  <c r="Q99" i="32"/>
  <c r="R99" i="32"/>
  <c r="P100" i="32"/>
  <c r="Q100" i="32"/>
  <c r="R100" i="32"/>
  <c r="P104" i="32"/>
  <c r="Q104" i="32"/>
  <c r="R104" i="32"/>
  <c r="Q105" i="32"/>
  <c r="R105" i="32"/>
  <c r="Q106" i="32"/>
  <c r="R106" i="32"/>
  <c r="P107" i="32"/>
  <c r="Q107" i="32"/>
  <c r="R107" i="32"/>
  <c r="P110" i="32"/>
  <c r="Q110" i="32"/>
  <c r="R110" i="32"/>
  <c r="Q111" i="32"/>
  <c r="R111" i="32"/>
  <c r="Q112" i="32"/>
  <c r="R112" i="32"/>
  <c r="P113" i="32"/>
  <c r="Q113" i="32"/>
  <c r="R113" i="32"/>
  <c r="W28" i="32"/>
  <c r="X28" i="32"/>
  <c r="W29" i="32"/>
  <c r="X29" i="32"/>
  <c r="W30" i="32"/>
  <c r="X30" i="32"/>
  <c r="X32" i="32"/>
  <c r="X33" i="32"/>
  <c r="X34" i="32"/>
  <c r="W36" i="32"/>
  <c r="X36" i="32"/>
  <c r="W37" i="32"/>
  <c r="X37" i="32"/>
  <c r="W38" i="32"/>
  <c r="X38" i="32"/>
  <c r="W40" i="32"/>
  <c r="X40" i="32"/>
  <c r="W41" i="32"/>
  <c r="X41" i="32"/>
  <c r="W42" i="32"/>
  <c r="X42" i="32"/>
  <c r="X44" i="32"/>
  <c r="X45" i="32"/>
  <c r="X46" i="32"/>
  <c r="V47" i="32"/>
  <c r="W47" i="32"/>
  <c r="X47" i="32"/>
  <c r="W48" i="32"/>
  <c r="X48" i="32"/>
  <c r="W49" i="32"/>
  <c r="X49" i="32"/>
  <c r="W50" i="32"/>
  <c r="X50" i="32"/>
  <c r="V51" i="32"/>
  <c r="W51" i="32"/>
  <c r="X51" i="32"/>
  <c r="X52" i="32"/>
  <c r="X53" i="32"/>
  <c r="X54" i="32"/>
  <c r="V55" i="32"/>
  <c r="W55" i="32"/>
  <c r="X55" i="32"/>
  <c r="X56" i="32"/>
  <c r="V57" i="32"/>
  <c r="W57" i="32"/>
  <c r="X57" i="32"/>
  <c r="X58" i="32"/>
  <c r="V59" i="32"/>
  <c r="W59" i="32"/>
  <c r="X59" i="32"/>
  <c r="V63" i="32"/>
  <c r="W63" i="32"/>
  <c r="X63" i="32"/>
  <c r="V66" i="32"/>
  <c r="W66" i="32"/>
  <c r="X66" i="32"/>
  <c r="V69" i="32"/>
  <c r="W69" i="32"/>
  <c r="X69" i="32"/>
  <c r="W71" i="32"/>
  <c r="X71" i="32"/>
  <c r="V73" i="32"/>
  <c r="W74" i="32"/>
  <c r="X74" i="32"/>
  <c r="V77" i="32"/>
  <c r="W77" i="32"/>
  <c r="X77" i="32"/>
  <c r="W78" i="32"/>
  <c r="X78" i="32"/>
  <c r="W79" i="32"/>
  <c r="X79" i="32"/>
  <c r="W80" i="32"/>
  <c r="X80" i="32"/>
  <c r="V81" i="32"/>
  <c r="W81" i="32"/>
  <c r="X81" i="32"/>
  <c r="W82" i="32"/>
  <c r="X82" i="32"/>
  <c r="W83" i="32"/>
  <c r="X83" i="32"/>
  <c r="W84" i="32"/>
  <c r="X84" i="32"/>
  <c r="V85" i="32"/>
  <c r="W85" i="32"/>
  <c r="X85" i="32"/>
  <c r="V89" i="32"/>
  <c r="W89" i="32"/>
  <c r="X89" i="32"/>
  <c r="W90" i="32"/>
  <c r="X90" i="32"/>
  <c r="W91" i="32"/>
  <c r="X91" i="32"/>
  <c r="W92" i="32"/>
  <c r="X92" i="32"/>
  <c r="V93" i="32"/>
  <c r="W93" i="32"/>
  <c r="X93" i="32"/>
  <c r="X94" i="32"/>
  <c r="AD94" i="32" s="1"/>
  <c r="W95" i="32"/>
  <c r="X95" i="32"/>
  <c r="V96" i="32"/>
  <c r="W96" i="32"/>
  <c r="X96" i="32"/>
  <c r="W97" i="32"/>
  <c r="X97" i="32"/>
  <c r="W98" i="32"/>
  <c r="X98" i="32"/>
  <c r="W99" i="32"/>
  <c r="X99" i="32"/>
  <c r="V100" i="32"/>
  <c r="W100" i="32"/>
  <c r="X100" i="32"/>
  <c r="V104" i="32"/>
  <c r="W104" i="32"/>
  <c r="X104" i="32"/>
  <c r="W105" i="32"/>
  <c r="X105" i="32"/>
  <c r="W106" i="32"/>
  <c r="X106" i="32"/>
  <c r="V107" i="32"/>
  <c r="W107" i="32"/>
  <c r="X107" i="32"/>
  <c r="V110" i="32"/>
  <c r="W110" i="32"/>
  <c r="X110" i="32"/>
  <c r="W111" i="32"/>
  <c r="X111" i="32"/>
  <c r="W112" i="32"/>
  <c r="X112" i="32"/>
  <c r="V113" i="32"/>
  <c r="AB113" i="32" s="1"/>
  <c r="W113" i="32"/>
  <c r="X113" i="32"/>
  <c r="AC28" i="32"/>
  <c r="AD28" i="32"/>
  <c r="AC29" i="32"/>
  <c r="AD29" i="32"/>
  <c r="AC30" i="32"/>
  <c r="AD30" i="32"/>
  <c r="AD32" i="32"/>
  <c r="AD33" i="32"/>
  <c r="AD34" i="32"/>
  <c r="AC36" i="32"/>
  <c r="AD36" i="32"/>
  <c r="AC37" i="32"/>
  <c r="AD37" i="32"/>
  <c r="AC38" i="32"/>
  <c r="AD38" i="32"/>
  <c r="AC40" i="32"/>
  <c r="AD40" i="32"/>
  <c r="AC41" i="32"/>
  <c r="AD41" i="32"/>
  <c r="AC42" i="32"/>
  <c r="AD42" i="32"/>
  <c r="AD44" i="32"/>
  <c r="AD45" i="32"/>
  <c r="AD46" i="32"/>
  <c r="AB47" i="32"/>
  <c r="AC47" i="32"/>
  <c r="AD47" i="32"/>
  <c r="AC48" i="32"/>
  <c r="AD48" i="32"/>
  <c r="AC49" i="32"/>
  <c r="AD49" i="32"/>
  <c r="AC50" i="32"/>
  <c r="AD50" i="32"/>
  <c r="AB51" i="32"/>
  <c r="AC51" i="32"/>
  <c r="AD51" i="32"/>
  <c r="AD52" i="32"/>
  <c r="AD53" i="32"/>
  <c r="AD54" i="32"/>
  <c r="AB55" i="32"/>
  <c r="AC55" i="32"/>
  <c r="AD55" i="32"/>
  <c r="AD56" i="32"/>
  <c r="AB57" i="32"/>
  <c r="AC57" i="32"/>
  <c r="AD57" i="32"/>
  <c r="AD58" i="32"/>
  <c r="AB59" i="32"/>
  <c r="AC59" i="32"/>
  <c r="AD59" i="32"/>
  <c r="AB63" i="32"/>
  <c r="AC63" i="32"/>
  <c r="AD63" i="32"/>
  <c r="AB66" i="32"/>
  <c r="AC66" i="32"/>
  <c r="AD66" i="32"/>
  <c r="AB69" i="32"/>
  <c r="AC69" i="32"/>
  <c r="AD69" i="32"/>
  <c r="AC71" i="32"/>
  <c r="AD71" i="32"/>
  <c r="AB73" i="32"/>
  <c r="AC74" i="32"/>
  <c r="AD74" i="32"/>
  <c r="AB77" i="32"/>
  <c r="AC77" i="32"/>
  <c r="AD77" i="32"/>
  <c r="AC78" i="32"/>
  <c r="AD78" i="32"/>
  <c r="AC79" i="32"/>
  <c r="AD79" i="32"/>
  <c r="AC80" i="32"/>
  <c r="AD80" i="32"/>
  <c r="AB81" i="32"/>
  <c r="AC81" i="32"/>
  <c r="AD81" i="32"/>
  <c r="AC82" i="32"/>
  <c r="AD82" i="32"/>
  <c r="AC83" i="32"/>
  <c r="AD83" i="32"/>
  <c r="AC84" i="32"/>
  <c r="AD84" i="32"/>
  <c r="AB85" i="32"/>
  <c r="AC85" i="32"/>
  <c r="AD85" i="32"/>
  <c r="AB89" i="32"/>
  <c r="AC89" i="32"/>
  <c r="AD89" i="32"/>
  <c r="AC90" i="32"/>
  <c r="AD90" i="32"/>
  <c r="AC91" i="32"/>
  <c r="AD91" i="32"/>
  <c r="AC92" i="32"/>
  <c r="AD92" i="32"/>
  <c r="AB93" i="32"/>
  <c r="AC93" i="32"/>
  <c r="AD93" i="32"/>
  <c r="AC95" i="32"/>
  <c r="AD95" i="32"/>
  <c r="AB96" i="32"/>
  <c r="AC96" i="32"/>
  <c r="AD96" i="32"/>
  <c r="AC97" i="32"/>
  <c r="AD97" i="32"/>
  <c r="AC98" i="32"/>
  <c r="AD98" i="32"/>
  <c r="AC99" i="32"/>
  <c r="AD99" i="32"/>
  <c r="AB100" i="32"/>
  <c r="AC100" i="32"/>
  <c r="AD100" i="32"/>
  <c r="AB104" i="32"/>
  <c r="AC104" i="32"/>
  <c r="AD104" i="32"/>
  <c r="AC105" i="32"/>
  <c r="AD105" i="32"/>
  <c r="AC106" i="32"/>
  <c r="AD106" i="32"/>
  <c r="AB107" i="32"/>
  <c r="AC107" i="32"/>
  <c r="AD107" i="32"/>
  <c r="AB110" i="32"/>
  <c r="AC110" i="32"/>
  <c r="AD110" i="32"/>
  <c r="AC111" i="32"/>
  <c r="AD111" i="32"/>
  <c r="AC112" i="32"/>
  <c r="AD112" i="32"/>
  <c r="AC113" i="32"/>
  <c r="AD113" i="32"/>
  <c r="G20" i="32"/>
  <c r="M47" i="32"/>
  <c r="M51" i="32"/>
  <c r="M55" i="32"/>
  <c r="M57" i="32"/>
  <c r="M59" i="32"/>
  <c r="M63" i="32"/>
  <c r="M66" i="32"/>
  <c r="M69" i="32"/>
  <c r="M73" i="32"/>
  <c r="M77" i="32"/>
  <c r="M81" i="32"/>
  <c r="M85" i="32"/>
  <c r="M89" i="32"/>
  <c r="M93" i="32"/>
  <c r="M96" i="32"/>
  <c r="M100" i="32"/>
  <c r="M104" i="32"/>
  <c r="M107" i="32"/>
  <c r="M110" i="32"/>
  <c r="M113" i="32"/>
  <c r="S47" i="32"/>
  <c r="S51" i="32"/>
  <c r="S55" i="32"/>
  <c r="S57" i="32"/>
  <c r="S59" i="32"/>
  <c r="S63" i="32"/>
  <c r="S66" i="32"/>
  <c r="S69" i="32"/>
  <c r="S73" i="32"/>
  <c r="S77" i="32"/>
  <c r="S81" i="32"/>
  <c r="S85" i="32"/>
  <c r="S89" i="32"/>
  <c r="S93" i="32"/>
  <c r="S96" i="32"/>
  <c r="S100" i="32"/>
  <c r="S104" i="32"/>
  <c r="S107" i="32"/>
  <c r="S110" i="32"/>
  <c r="S113" i="32"/>
  <c r="Y47" i="32"/>
  <c r="Y51" i="32"/>
  <c r="Y55" i="32"/>
  <c r="Y57" i="32"/>
  <c r="Y59" i="32"/>
  <c r="Y63" i="32"/>
  <c r="Y66" i="32"/>
  <c r="Y69" i="32"/>
  <c r="Y73" i="32"/>
  <c r="Y77" i="32"/>
  <c r="Y81" i="32"/>
  <c r="Y85" i="32"/>
  <c r="Y89" i="32"/>
  <c r="Y93" i="32"/>
  <c r="Y96" i="32"/>
  <c r="Y100" i="32"/>
  <c r="Y104" i="32"/>
  <c r="Y107" i="32"/>
  <c r="Y110" i="32"/>
  <c r="Y113" i="32"/>
  <c r="AE47" i="32"/>
  <c r="AE51" i="32"/>
  <c r="AE55" i="32"/>
  <c r="AE57" i="32"/>
  <c r="AE59" i="32"/>
  <c r="AE63" i="32"/>
  <c r="AE66" i="32"/>
  <c r="AE69" i="32"/>
  <c r="AE73" i="32"/>
  <c r="AE77" i="32"/>
  <c r="AE81" i="32"/>
  <c r="AE85" i="32"/>
  <c r="AE89" i="32"/>
  <c r="AE93" i="32"/>
  <c r="AE96" i="32"/>
  <c r="AE100" i="32"/>
  <c r="AE104" i="32"/>
  <c r="AE107" i="32"/>
  <c r="AE110" i="32"/>
  <c r="AE113" i="32"/>
  <c r="G21" i="32"/>
  <c r="N28" i="32"/>
  <c r="N29" i="32"/>
  <c r="N30" i="32"/>
  <c r="N32" i="32"/>
  <c r="N33" i="32"/>
  <c r="N34" i="32"/>
  <c r="N36" i="32"/>
  <c r="N37" i="32"/>
  <c r="N38" i="32"/>
  <c r="N40" i="32"/>
  <c r="N41" i="32"/>
  <c r="N42" i="32"/>
  <c r="N44" i="32"/>
  <c r="N45" i="32"/>
  <c r="N46" i="32"/>
  <c r="N47" i="32"/>
  <c r="N48" i="32"/>
  <c r="N49" i="32"/>
  <c r="N50" i="32"/>
  <c r="N51" i="32"/>
  <c r="N52" i="32"/>
  <c r="N53" i="32"/>
  <c r="N54" i="32"/>
  <c r="N55" i="32"/>
  <c r="N56" i="32"/>
  <c r="N57" i="32"/>
  <c r="N58" i="32"/>
  <c r="N59" i="32"/>
  <c r="N63" i="32"/>
  <c r="N66" i="32"/>
  <c r="N69" i="32"/>
  <c r="N70" i="32"/>
  <c r="T70" i="32" s="1"/>
  <c r="Z70" i="32" s="1"/>
  <c r="AF70" i="32" s="1"/>
  <c r="N71" i="32"/>
  <c r="N72" i="32"/>
  <c r="N73" i="32"/>
  <c r="T73" i="32" s="1"/>
  <c r="Z73" i="32" s="1"/>
  <c r="AF73" i="32" s="1"/>
  <c r="N74" i="32"/>
  <c r="N75" i="32"/>
  <c r="N76" i="32"/>
  <c r="T76" i="32" s="1"/>
  <c r="Z76" i="32" s="1"/>
  <c r="AF76" i="32" s="1"/>
  <c r="N77" i="32"/>
  <c r="N78" i="32"/>
  <c r="N79" i="32"/>
  <c r="N80" i="32"/>
  <c r="N81" i="32"/>
  <c r="N82" i="32"/>
  <c r="N83" i="32"/>
  <c r="N84" i="32"/>
  <c r="N85" i="32"/>
  <c r="N86" i="32"/>
  <c r="N87" i="32"/>
  <c r="N88" i="32"/>
  <c r="N89" i="32"/>
  <c r="N90" i="32"/>
  <c r="N91" i="32"/>
  <c r="N92" i="32"/>
  <c r="N93" i="32"/>
  <c r="N94" i="32"/>
  <c r="N95" i="32"/>
  <c r="N96" i="32"/>
  <c r="N97" i="32"/>
  <c r="N98" i="32"/>
  <c r="N99" i="32"/>
  <c r="N100" i="32"/>
  <c r="N101" i="32"/>
  <c r="N102" i="32"/>
  <c r="N103" i="32"/>
  <c r="N104" i="32"/>
  <c r="N105" i="32"/>
  <c r="N106" i="32"/>
  <c r="N107" i="32"/>
  <c r="N108" i="32"/>
  <c r="N109" i="32"/>
  <c r="N110" i="32"/>
  <c r="N111" i="32"/>
  <c r="N112" i="32"/>
  <c r="N113" i="32"/>
  <c r="N114" i="32"/>
  <c r="N115" i="32"/>
  <c r="T28" i="32"/>
  <c r="T29" i="32"/>
  <c r="T30" i="32"/>
  <c r="T32" i="32"/>
  <c r="T33" i="32"/>
  <c r="T34" i="32"/>
  <c r="T36" i="32"/>
  <c r="T37" i="32"/>
  <c r="T38" i="32"/>
  <c r="T40" i="32"/>
  <c r="T41" i="32"/>
  <c r="T42" i="32"/>
  <c r="T44" i="32"/>
  <c r="T45" i="32"/>
  <c r="T46" i="32"/>
  <c r="T47" i="32"/>
  <c r="T48" i="32"/>
  <c r="T49" i="32"/>
  <c r="T50" i="32"/>
  <c r="T51" i="32"/>
  <c r="T52" i="32"/>
  <c r="T53" i="32"/>
  <c r="T54" i="32"/>
  <c r="T55" i="32"/>
  <c r="T56" i="32"/>
  <c r="T57" i="32"/>
  <c r="T58" i="32"/>
  <c r="T59" i="32"/>
  <c r="T63" i="32"/>
  <c r="T66" i="32"/>
  <c r="T69" i="32"/>
  <c r="T71" i="32"/>
  <c r="T72" i="32"/>
  <c r="Z72" i="32" s="1"/>
  <c r="AF72" i="32" s="1"/>
  <c r="T74" i="32"/>
  <c r="T75" i="32"/>
  <c r="T77" i="32"/>
  <c r="T78" i="32"/>
  <c r="T79" i="32"/>
  <c r="T80" i="32"/>
  <c r="T81" i="32"/>
  <c r="T82" i="32"/>
  <c r="T83" i="32"/>
  <c r="T84" i="32"/>
  <c r="T85" i="32"/>
  <c r="T86" i="32"/>
  <c r="T87" i="32"/>
  <c r="T88" i="32"/>
  <c r="T89" i="32"/>
  <c r="T90" i="32"/>
  <c r="T91" i="32"/>
  <c r="T92" i="32"/>
  <c r="T93" i="32"/>
  <c r="T94" i="32"/>
  <c r="T95" i="32"/>
  <c r="T96" i="32"/>
  <c r="T97" i="32"/>
  <c r="T98" i="32"/>
  <c r="T99" i="32"/>
  <c r="T100" i="32"/>
  <c r="T101" i="32"/>
  <c r="T102" i="32"/>
  <c r="T103" i="32"/>
  <c r="T104" i="32"/>
  <c r="T105" i="32"/>
  <c r="T106" i="32"/>
  <c r="T107" i="32"/>
  <c r="T108" i="32"/>
  <c r="T109" i="32"/>
  <c r="T110" i="32"/>
  <c r="T111" i="32"/>
  <c r="T112" i="32"/>
  <c r="T113" i="32"/>
  <c r="T114" i="32"/>
  <c r="T115" i="32"/>
  <c r="Z28" i="32"/>
  <c r="Z29" i="32"/>
  <c r="Z30" i="32"/>
  <c r="Z32" i="32"/>
  <c r="Z33" i="32"/>
  <c r="Z34" i="32"/>
  <c r="Z36" i="32"/>
  <c r="Z37" i="32"/>
  <c r="Z38" i="32"/>
  <c r="Z40" i="32"/>
  <c r="Z41" i="32"/>
  <c r="Z42" i="32"/>
  <c r="Z44" i="32"/>
  <c r="Z45" i="32"/>
  <c r="Z46" i="32"/>
  <c r="Z47" i="32"/>
  <c r="Z48" i="32"/>
  <c r="Z49" i="32"/>
  <c r="Z50" i="32"/>
  <c r="Z51" i="32"/>
  <c r="Z52" i="32"/>
  <c r="Z53" i="32"/>
  <c r="Z54" i="32"/>
  <c r="Z55" i="32"/>
  <c r="Z56" i="32"/>
  <c r="Z57" i="32"/>
  <c r="Z58" i="32"/>
  <c r="Z59" i="32"/>
  <c r="Z63" i="32"/>
  <c r="Z66" i="32"/>
  <c r="Z69" i="32"/>
  <c r="Z71" i="32"/>
  <c r="Z74" i="32"/>
  <c r="Z75" i="32"/>
  <c r="AF75" i="32" s="1"/>
  <c r="Z77" i="32"/>
  <c r="Z78" i="32"/>
  <c r="Z79" i="32"/>
  <c r="Z80" i="32"/>
  <c r="Z81" i="32"/>
  <c r="Z82" i="32"/>
  <c r="Z83" i="32"/>
  <c r="Z84" i="32"/>
  <c r="Z85" i="32"/>
  <c r="Z86" i="32"/>
  <c r="Z87" i="32"/>
  <c r="Z88" i="32"/>
  <c r="Z89" i="32"/>
  <c r="Z90" i="32"/>
  <c r="Z91" i="32"/>
  <c r="Z92" i="32"/>
  <c r="Z93" i="32"/>
  <c r="Z94" i="32"/>
  <c r="Z95" i="32"/>
  <c r="Z96" i="32"/>
  <c r="Z97" i="32"/>
  <c r="Z98" i="32"/>
  <c r="Z99" i="32"/>
  <c r="Z100" i="32"/>
  <c r="Z101" i="32"/>
  <c r="Z102" i="32"/>
  <c r="Z103" i="32"/>
  <c r="Z104" i="32"/>
  <c r="Z105" i="32"/>
  <c r="Z106" i="32"/>
  <c r="Z107" i="32"/>
  <c r="Z108" i="32"/>
  <c r="Z109" i="32"/>
  <c r="Z110" i="32"/>
  <c r="Z111" i="32"/>
  <c r="Z112" i="32"/>
  <c r="Z113" i="32"/>
  <c r="Z114" i="32"/>
  <c r="Z115" i="32"/>
  <c r="AF28" i="32"/>
  <c r="AF29" i="32"/>
  <c r="AF30" i="32"/>
  <c r="AF32" i="32"/>
  <c r="AF33" i="32"/>
  <c r="AF34" i="32"/>
  <c r="AF36" i="32"/>
  <c r="AF37" i="32"/>
  <c r="AF38" i="32"/>
  <c r="AF40" i="32"/>
  <c r="AF41" i="32"/>
  <c r="AF42" i="32"/>
  <c r="AF44" i="32"/>
  <c r="AF45" i="32"/>
  <c r="AF46" i="32"/>
  <c r="AF47" i="32"/>
  <c r="AF48" i="32"/>
  <c r="AF49" i="32"/>
  <c r="AF50" i="32"/>
  <c r="AF51" i="32"/>
  <c r="AF52" i="32"/>
  <c r="AF53" i="32"/>
  <c r="AF54" i="32"/>
  <c r="AF55" i="32"/>
  <c r="AF56" i="32"/>
  <c r="AF57" i="32"/>
  <c r="AF58" i="32"/>
  <c r="AF59" i="32"/>
  <c r="AF63" i="32"/>
  <c r="AF66" i="32"/>
  <c r="AF69" i="32"/>
  <c r="AF71" i="32"/>
  <c r="AF74" i="32"/>
  <c r="AF77" i="32"/>
  <c r="AF78" i="32"/>
  <c r="AF79" i="32"/>
  <c r="AF80" i="32"/>
  <c r="AF81" i="32"/>
  <c r="AF82" i="32"/>
  <c r="AF83" i="32"/>
  <c r="AF84" i="32"/>
  <c r="AF85" i="32"/>
  <c r="AF86" i="32"/>
  <c r="AF87" i="32"/>
  <c r="AF88" i="32"/>
  <c r="AF89" i="32"/>
  <c r="AF90" i="32"/>
  <c r="AF91" i="32"/>
  <c r="AF92" i="32"/>
  <c r="AF93" i="32"/>
  <c r="AF94" i="32"/>
  <c r="AF95" i="32"/>
  <c r="AF96" i="32"/>
  <c r="AF97" i="32"/>
  <c r="AF98" i="32"/>
  <c r="AF99" i="32"/>
  <c r="AF100" i="32"/>
  <c r="AF101" i="32"/>
  <c r="AF102" i="32"/>
  <c r="AF103" i="32"/>
  <c r="AF104" i="32"/>
  <c r="AF105" i="32"/>
  <c r="AF106" i="32"/>
  <c r="AF107" i="32"/>
  <c r="AF108" i="32"/>
  <c r="AF109" i="32"/>
  <c r="AF110" i="32"/>
  <c r="AF111" i="32"/>
  <c r="AF112" i="32"/>
  <c r="AF113" i="32"/>
  <c r="AF114" i="32"/>
  <c r="AF115" i="32"/>
  <c r="G22" i="32"/>
  <c r="O28" i="32"/>
  <c r="O29" i="32"/>
  <c r="O30" i="32"/>
  <c r="O32" i="32"/>
  <c r="O33" i="32"/>
  <c r="O34" i="32"/>
  <c r="O36" i="32"/>
  <c r="O37" i="32"/>
  <c r="O38" i="32"/>
  <c r="O40" i="32"/>
  <c r="O41" i="32"/>
  <c r="O42" i="32"/>
  <c r="O44" i="32"/>
  <c r="O45" i="32"/>
  <c r="O46" i="32"/>
  <c r="O47" i="32"/>
  <c r="O48" i="32"/>
  <c r="O49" i="32"/>
  <c r="O50" i="32"/>
  <c r="O51" i="32"/>
  <c r="O52" i="32"/>
  <c r="O53" i="32"/>
  <c r="O54" i="32"/>
  <c r="O55" i="32"/>
  <c r="O56" i="32"/>
  <c r="O57" i="32"/>
  <c r="O58" i="32"/>
  <c r="O59" i="32"/>
  <c r="O63" i="32"/>
  <c r="O66" i="32"/>
  <c r="O69" i="32"/>
  <c r="O70" i="32"/>
  <c r="U70" i="32" s="1"/>
  <c r="AA70" i="32" s="1"/>
  <c r="AG70" i="32" s="1"/>
  <c r="O71" i="32"/>
  <c r="O72" i="32"/>
  <c r="U72" i="32" s="1"/>
  <c r="AA72" i="32" s="1"/>
  <c r="AG72" i="32" s="1"/>
  <c r="O73" i="32"/>
  <c r="U73" i="32" s="1"/>
  <c r="AA73" i="32" s="1"/>
  <c r="AG73" i="32" s="1"/>
  <c r="O74" i="32"/>
  <c r="O75" i="32"/>
  <c r="U75" i="32" s="1"/>
  <c r="AA75" i="32" s="1"/>
  <c r="AG75" i="32" s="1"/>
  <c r="O76" i="32"/>
  <c r="U76" i="32" s="1"/>
  <c r="AA76" i="32" s="1"/>
  <c r="AG76" i="32" s="1"/>
  <c r="O77" i="32"/>
  <c r="O78" i="32"/>
  <c r="O79" i="32"/>
  <c r="O80" i="32"/>
  <c r="O81" i="32"/>
  <c r="O82" i="32"/>
  <c r="O83" i="32"/>
  <c r="O84" i="32"/>
  <c r="O85" i="32"/>
  <c r="O86" i="32"/>
  <c r="O87" i="32"/>
  <c r="O88" i="32"/>
  <c r="O89" i="32"/>
  <c r="O90" i="32"/>
  <c r="O91" i="32"/>
  <c r="O92" i="32"/>
  <c r="O93" i="32"/>
  <c r="O94" i="32"/>
  <c r="O95" i="32"/>
  <c r="O96" i="32"/>
  <c r="O100" i="32"/>
  <c r="O104" i="32"/>
  <c r="O107" i="32"/>
  <c r="O110" i="32"/>
  <c r="O113" i="32"/>
  <c r="U28" i="32"/>
  <c r="U29" i="32"/>
  <c r="U30" i="32"/>
  <c r="U32" i="32"/>
  <c r="U33" i="32"/>
  <c r="U34" i="32"/>
  <c r="U36" i="32"/>
  <c r="U37" i="32"/>
  <c r="U38" i="32"/>
  <c r="U40" i="32"/>
  <c r="U41" i="32"/>
  <c r="U42" i="32"/>
  <c r="U44" i="32"/>
  <c r="U45" i="32"/>
  <c r="U46" i="32"/>
  <c r="U47" i="32"/>
  <c r="U48" i="32"/>
  <c r="U49" i="32"/>
  <c r="U50" i="32"/>
  <c r="U51" i="32"/>
  <c r="U52" i="32"/>
  <c r="U53" i="32"/>
  <c r="U54" i="32"/>
  <c r="U55" i="32"/>
  <c r="U56" i="32"/>
  <c r="U57" i="32"/>
  <c r="U58" i="32"/>
  <c r="U59" i="32"/>
  <c r="U63" i="32"/>
  <c r="U66" i="32"/>
  <c r="U69" i="32"/>
  <c r="U71" i="32"/>
  <c r="U74" i="32"/>
  <c r="U77" i="32"/>
  <c r="U78" i="32"/>
  <c r="U79" i="32"/>
  <c r="U80" i="32"/>
  <c r="U81" i="32"/>
  <c r="U82" i="32"/>
  <c r="U83" i="32"/>
  <c r="U84" i="32"/>
  <c r="U85" i="32"/>
  <c r="U86" i="32"/>
  <c r="U87" i="32"/>
  <c r="U88" i="32"/>
  <c r="U89" i="32"/>
  <c r="U90" i="32"/>
  <c r="U91" i="32"/>
  <c r="U92" i="32"/>
  <c r="U93" i="32"/>
  <c r="U94" i="32"/>
  <c r="U95" i="32"/>
  <c r="U96" i="32"/>
  <c r="U100" i="32"/>
  <c r="U104" i="32"/>
  <c r="U107" i="32"/>
  <c r="U110" i="32"/>
  <c r="U113" i="32"/>
  <c r="AA28" i="32"/>
  <c r="AA29" i="32"/>
  <c r="AA30" i="32"/>
  <c r="AA32" i="32"/>
  <c r="AA33" i="32"/>
  <c r="AA34" i="32"/>
  <c r="AA36" i="32"/>
  <c r="AA37" i="32"/>
  <c r="AA38" i="32"/>
  <c r="AA40" i="32"/>
  <c r="AA41" i="32"/>
  <c r="AA42" i="32"/>
  <c r="AA44" i="32"/>
  <c r="AA45" i="32"/>
  <c r="AA46" i="32"/>
  <c r="AA47" i="32"/>
  <c r="AA48" i="32"/>
  <c r="AA49" i="32"/>
  <c r="AA50" i="32"/>
  <c r="AA51" i="32"/>
  <c r="AA52" i="32"/>
  <c r="AA53" i="32"/>
  <c r="AA54" i="32"/>
  <c r="AA55" i="32"/>
  <c r="AA56" i="32"/>
  <c r="AA57" i="32"/>
  <c r="AA58" i="32"/>
  <c r="AA59" i="32"/>
  <c r="AA63" i="32"/>
  <c r="AA66" i="32"/>
  <c r="AA69" i="32"/>
  <c r="AA71" i="32"/>
  <c r="AA74" i="32"/>
  <c r="AA77" i="32"/>
  <c r="AA78" i="32"/>
  <c r="AA79" i="32"/>
  <c r="AA80" i="32"/>
  <c r="AA81" i="32"/>
  <c r="AA82" i="32"/>
  <c r="AA83" i="32"/>
  <c r="AA84" i="32"/>
  <c r="AA85" i="32"/>
  <c r="AA86" i="32"/>
  <c r="AA87" i="32"/>
  <c r="AA88" i="32"/>
  <c r="AA89" i="32"/>
  <c r="AA90" i="32"/>
  <c r="AA91" i="32"/>
  <c r="AA92" i="32"/>
  <c r="AA93" i="32"/>
  <c r="AA94" i="32"/>
  <c r="AA95" i="32"/>
  <c r="AA96" i="32"/>
  <c r="AA100" i="32"/>
  <c r="AA104" i="32"/>
  <c r="AA107" i="32"/>
  <c r="AA110" i="32"/>
  <c r="AA113" i="32"/>
  <c r="AG28" i="32"/>
  <c r="AG29" i="32"/>
  <c r="AG30" i="32"/>
  <c r="AG32" i="32"/>
  <c r="AG33" i="32"/>
  <c r="AG34" i="32"/>
  <c r="AG36" i="32"/>
  <c r="AG37" i="32"/>
  <c r="AG38" i="32"/>
  <c r="AG40" i="32"/>
  <c r="AG41" i="32"/>
  <c r="AG42" i="32"/>
  <c r="AG44" i="32"/>
  <c r="AG45" i="32"/>
  <c r="AG46" i="32"/>
  <c r="AG47" i="32"/>
  <c r="AG48" i="32"/>
  <c r="AG49" i="32"/>
  <c r="AG50" i="32"/>
  <c r="AG51" i="32"/>
  <c r="AG52" i="32"/>
  <c r="AG53" i="32"/>
  <c r="AG54" i="32"/>
  <c r="AG55" i="32"/>
  <c r="AG56" i="32"/>
  <c r="AG57" i="32"/>
  <c r="AG58" i="32"/>
  <c r="AG59" i="32"/>
  <c r="AG63" i="32"/>
  <c r="AG66" i="32"/>
  <c r="AG69" i="32"/>
  <c r="AG71" i="32"/>
  <c r="AG74" i="32"/>
  <c r="AG77" i="32"/>
  <c r="AG78" i="32"/>
  <c r="AG79" i="32"/>
  <c r="AG80" i="32"/>
  <c r="AG81" i="32"/>
  <c r="AG82" i="32"/>
  <c r="AG83" i="32"/>
  <c r="AG84" i="32"/>
  <c r="AG85" i="32"/>
  <c r="AG86" i="32"/>
  <c r="AG87" i="32"/>
  <c r="AG88" i="32"/>
  <c r="AG89" i="32"/>
  <c r="AG90" i="32"/>
  <c r="AG91" i="32"/>
  <c r="AG92" i="32"/>
  <c r="AG93" i="32"/>
  <c r="AG94" i="32"/>
  <c r="AG95" i="32"/>
  <c r="AG96" i="32"/>
  <c r="AG100" i="32"/>
  <c r="AG104" i="32"/>
  <c r="AG107" i="32"/>
  <c r="AG110" i="32"/>
  <c r="AG113" i="32"/>
  <c r="D25" i="32"/>
  <c r="J25" i="32"/>
  <c r="P25" i="32"/>
  <c r="V25" i="32"/>
  <c r="C5" i="31"/>
  <c r="K5" i="31"/>
  <c r="S5" i="31"/>
  <c r="AA5" i="31"/>
  <c r="AI5" i="31"/>
  <c r="C27" i="31"/>
  <c r="K27" i="31"/>
  <c r="S27" i="31"/>
  <c r="AA27" i="31"/>
  <c r="AI27" i="31"/>
  <c r="C32" i="31"/>
  <c r="H32" i="31"/>
  <c r="M32" i="31"/>
  <c r="R32" i="31"/>
  <c r="W32" i="31"/>
  <c r="B2" i="30"/>
  <c r="B4" i="30"/>
  <c r="E15" i="30"/>
  <c r="E16" i="30"/>
  <c r="E18" i="30"/>
  <c r="E19" i="30"/>
  <c r="E21" i="30"/>
  <c r="E22" i="30"/>
  <c r="E23" i="30"/>
  <c r="E26" i="30"/>
  <c r="E27" i="30"/>
  <c r="E28" i="30"/>
  <c r="E32" i="30"/>
  <c r="E33" i="30"/>
  <c r="E42" i="30"/>
  <c r="E43" i="30"/>
  <c r="E44" i="30"/>
  <c r="E45" i="30"/>
  <c r="E46" i="30"/>
  <c r="E47" i="30"/>
  <c r="E48" i="30"/>
  <c r="E49" i="30"/>
  <c r="E50" i="30"/>
  <c r="E53" i="30"/>
  <c r="E54" i="30"/>
  <c r="E55" i="30"/>
  <c r="E59" i="30"/>
  <c r="E60" i="30"/>
  <c r="K70" i="30"/>
  <c r="L70" i="30"/>
  <c r="M70" i="30"/>
  <c r="K73" i="30"/>
  <c r="L73" i="30"/>
  <c r="M73" i="30"/>
  <c r="K74" i="30"/>
  <c r="L74" i="30"/>
  <c r="M74" i="30"/>
  <c r="K75" i="30"/>
  <c r="L75" i="30"/>
  <c r="M75" i="30"/>
  <c r="K76" i="30"/>
  <c r="L76" i="30"/>
  <c r="M76" i="30"/>
  <c r="K77" i="30"/>
  <c r="L77" i="30"/>
  <c r="M77" i="30"/>
  <c r="K78" i="30"/>
  <c r="L78" i="30"/>
  <c r="M78" i="30"/>
  <c r="K88" i="30"/>
  <c r="L88" i="30"/>
  <c r="M88" i="30"/>
  <c r="K89" i="30"/>
  <c r="L89" i="30"/>
  <c r="M89" i="30"/>
  <c r="K90" i="30"/>
  <c r="L90" i="30"/>
  <c r="M90" i="30"/>
  <c r="K91" i="30"/>
  <c r="L91" i="30"/>
  <c r="M91" i="30"/>
  <c r="K92" i="30"/>
  <c r="L92" i="30"/>
  <c r="M92" i="30"/>
  <c r="K115" i="30"/>
  <c r="L115" i="30"/>
  <c r="M115" i="30"/>
  <c r="K116" i="30"/>
  <c r="L116" i="30"/>
  <c r="M116" i="30"/>
  <c r="K117" i="30"/>
  <c r="L117" i="30"/>
  <c r="M117" i="30"/>
  <c r="K118" i="30"/>
  <c r="L118" i="30"/>
  <c r="M118" i="30"/>
  <c r="K119" i="30"/>
  <c r="L119" i="30"/>
  <c r="M119" i="30"/>
  <c r="K120" i="30"/>
  <c r="L120" i="30"/>
  <c r="M120" i="30"/>
  <c r="K121" i="30"/>
  <c r="L121" i="30"/>
  <c r="M121" i="30"/>
  <c r="K122" i="30"/>
  <c r="L122" i="30"/>
  <c r="M122" i="30"/>
  <c r="K123" i="30"/>
  <c r="L123" i="30"/>
  <c r="M123" i="30"/>
  <c r="E9" i="29"/>
  <c r="B3" i="27"/>
  <c r="B4" i="26"/>
  <c r="B5" i="26"/>
  <c r="A7" i="26"/>
  <c r="K84" i="46" l="1"/>
  <c r="E508" i="47"/>
  <c r="E544" i="47" s="1"/>
  <c r="G518" i="47"/>
  <c r="G554" i="47" s="1"/>
  <c r="G590" i="47" s="1"/>
  <c r="G514" i="47"/>
  <c r="G550" i="47" s="1"/>
  <c r="G586" i="47" s="1"/>
  <c r="B2778" i="47"/>
  <c r="B2935" i="47" s="1"/>
  <c r="B3110" i="47" s="1"/>
  <c r="B3122" i="47" s="1"/>
  <c r="B3393" i="47" s="1"/>
  <c r="G96" i="46"/>
  <c r="H29" i="45"/>
  <c r="G74" i="46"/>
  <c r="H22" i="45"/>
  <c r="E1156" i="47"/>
  <c r="F4274" i="47"/>
  <c r="C1152" i="47"/>
  <c r="G1152" i="47" s="1"/>
  <c r="F4270" i="47"/>
  <c r="C4270" i="47"/>
  <c r="E1144" i="47"/>
  <c r="F4262" i="47"/>
  <c r="C1138" i="47"/>
  <c r="G1138" i="47" s="1"/>
  <c r="F4256" i="47"/>
  <c r="C4256" i="47"/>
  <c r="C1131" i="47"/>
  <c r="G1131" i="47" s="1"/>
  <c r="F4249" i="47"/>
  <c r="G4249" i="47"/>
  <c r="C4249" i="47"/>
  <c r="D1125" i="47"/>
  <c r="F4243" i="47"/>
  <c r="G4243" i="47"/>
  <c r="C4243" i="47"/>
  <c r="D1120" i="47"/>
  <c r="C4238" i="47"/>
  <c r="D4238" i="47"/>
  <c r="F4238" i="47"/>
  <c r="C1115" i="47"/>
  <c r="F4233" i="47"/>
  <c r="G4233" i="47"/>
  <c r="C4233" i="47"/>
  <c r="D1098" i="47"/>
  <c r="F4216" i="47"/>
  <c r="G4216" i="47"/>
  <c r="C1093" i="47"/>
  <c r="G1093" i="47" s="1"/>
  <c r="F4211" i="47"/>
  <c r="G4211" i="47"/>
  <c r="D1086" i="47"/>
  <c r="D4204" i="47"/>
  <c r="F4204" i="47"/>
  <c r="G4204" i="47"/>
  <c r="D1081" i="47"/>
  <c r="C4199" i="47"/>
  <c r="D4199" i="47"/>
  <c r="F4199" i="47"/>
  <c r="D1075" i="47"/>
  <c r="D4193" i="47"/>
  <c r="F4193" i="47"/>
  <c r="G4193" i="47"/>
  <c r="C1070" i="47"/>
  <c r="F4188" i="47"/>
  <c r="C4188" i="47"/>
  <c r="G4188" i="47"/>
  <c r="C1065" i="47"/>
  <c r="G1065" i="47" s="1"/>
  <c r="D4183" i="47"/>
  <c r="F4183" i="47"/>
  <c r="B2784" i="47"/>
  <c r="B2941" i="47" s="1"/>
  <c r="B2776" i="47"/>
  <c r="B2933" i="47" s="1"/>
  <c r="B2768" i="47"/>
  <c r="B2925" i="47" s="1"/>
  <c r="C1417" i="47"/>
  <c r="F505" i="47"/>
  <c r="F541" i="47" s="1"/>
  <c r="F501" i="47"/>
  <c r="F537" i="47" s="1"/>
  <c r="F573" i="47" s="1"/>
  <c r="F507" i="47"/>
  <c r="F543" i="47" s="1"/>
  <c r="F579" i="47" s="1"/>
  <c r="F515" i="47"/>
  <c r="F551" i="47" s="1"/>
  <c r="F587" i="47" s="1"/>
  <c r="F522" i="47"/>
  <c r="F558" i="47" s="1"/>
  <c r="F594" i="47" s="1"/>
  <c r="I570" i="47"/>
  <c r="I591" i="47"/>
  <c r="I573" i="47"/>
  <c r="I574" i="47"/>
  <c r="I577" i="47"/>
  <c r="I581" i="47"/>
  <c r="I582" i="47"/>
  <c r="I585" i="47"/>
  <c r="I593" i="47"/>
  <c r="I594" i="47"/>
  <c r="I576" i="47"/>
  <c r="I583" i="47"/>
  <c r="I586" i="47"/>
  <c r="I587" i="47"/>
  <c r="I589" i="47"/>
  <c r="I595" i="47"/>
  <c r="E586" i="47"/>
  <c r="E590" i="47"/>
  <c r="E570" i="47"/>
  <c r="D595" i="47"/>
  <c r="H595" i="47"/>
  <c r="C591" i="47"/>
  <c r="D591" i="47"/>
  <c r="C587" i="47"/>
  <c r="H587" i="47"/>
  <c r="D583" i="47"/>
  <c r="H583" i="47"/>
  <c r="C579" i="47"/>
  <c r="H579" i="47"/>
  <c r="C571" i="47"/>
  <c r="H571" i="47"/>
  <c r="H81" i="45"/>
  <c r="F75" i="45"/>
  <c r="I68" i="45"/>
  <c r="F61" i="45"/>
  <c r="I54" i="45"/>
  <c r="H46" i="45"/>
  <c r="F44" i="45"/>
  <c r="F35" i="45"/>
  <c r="H32" i="45"/>
  <c r="E18" i="45"/>
  <c r="D4256" i="47"/>
  <c r="G112" i="46"/>
  <c r="H33" i="45"/>
  <c r="D4233" i="47"/>
  <c r="I21" i="45"/>
  <c r="H70" i="46"/>
  <c r="G67" i="46"/>
  <c r="H47" i="45"/>
  <c r="G4199" i="47"/>
  <c r="G46" i="46"/>
  <c r="H15" i="45"/>
  <c r="I590" i="47"/>
  <c r="F503" i="47"/>
  <c r="F539" i="47" s="1"/>
  <c r="E45" i="45"/>
  <c r="F40" i="45"/>
  <c r="I31" i="45"/>
  <c r="H104" i="46"/>
  <c r="N54" i="46"/>
  <c r="F17" i="45"/>
  <c r="H50" i="46"/>
  <c r="I16" i="45"/>
  <c r="E2701" i="47"/>
  <c r="F2737" i="47" s="1"/>
  <c r="E2706" i="47"/>
  <c r="F2742" i="47" s="1"/>
  <c r="B2697" i="47"/>
  <c r="C2733" i="47" s="1"/>
  <c r="B2705" i="47"/>
  <c r="C2741" i="47" s="1"/>
  <c r="B587" i="47"/>
  <c r="B2783" i="47" s="1"/>
  <c r="B2940" i="47" s="1"/>
  <c r="J579" i="47"/>
  <c r="I572" i="47"/>
  <c r="E596" i="47"/>
  <c r="E595" i="47"/>
  <c r="E580" i="47"/>
  <c r="B579" i="47"/>
  <c r="B2775" i="47" s="1"/>
  <c r="B2932" i="47" s="1"/>
  <c r="B156" i="46"/>
  <c r="J595" i="47"/>
  <c r="B591" i="47"/>
  <c r="B2787" i="47" s="1"/>
  <c r="B3219" i="47" s="1"/>
  <c r="J583" i="47"/>
  <c r="B583" i="47"/>
  <c r="B2779" i="47" s="1"/>
  <c r="B2936" i="47" s="1"/>
  <c r="B3111" i="47" s="1"/>
  <c r="B3123" i="47" s="1"/>
  <c r="B3394" i="47" s="1"/>
  <c r="I579" i="47"/>
  <c r="C575" i="47"/>
  <c r="E573" i="47"/>
  <c r="I596" i="47"/>
  <c r="E591" i="47"/>
  <c r="B3166" i="47"/>
  <c r="B3181" i="47" s="1"/>
  <c r="B3406" i="47" s="1"/>
  <c r="B3162" i="47"/>
  <c r="B3177" i="47" s="1"/>
  <c r="B3402" i="47" s="1"/>
  <c r="E2704" i="47"/>
  <c r="F2740" i="47" s="1"/>
  <c r="C2703" i="47"/>
  <c r="D2739" i="47" s="1"/>
  <c r="B2781" i="47"/>
  <c r="B2938" i="47" s="1"/>
  <c r="B2777" i="47"/>
  <c r="B2934" i="47" s="1"/>
  <c r="B3109" i="47" s="1"/>
  <c r="B3121" i="47" s="1"/>
  <c r="B3392" i="47" s="1"/>
  <c r="B2773" i="47"/>
  <c r="B2930" i="47" s="1"/>
  <c r="I592" i="47"/>
  <c r="J591" i="47"/>
  <c r="I588" i="47"/>
  <c r="I584" i="47"/>
  <c r="B571" i="47"/>
  <c r="B2767" i="47" s="1"/>
  <c r="B2924" i="47" s="1"/>
  <c r="H575" i="47"/>
  <c r="G512" i="47"/>
  <c r="G548" i="47" s="1"/>
  <c r="G584" i="47" s="1"/>
  <c r="D505" i="47"/>
  <c r="D541" i="47" s="1"/>
  <c r="D577" i="47" s="1"/>
  <c r="D503" i="47"/>
  <c r="D539" i="47" s="1"/>
  <c r="D575" i="47" s="1"/>
  <c r="D2706" i="47"/>
  <c r="E2742" i="47" s="1"/>
  <c r="D1959" i="47"/>
  <c r="D1977" i="47" s="1"/>
  <c r="Y1988" i="47" s="1"/>
  <c r="G516" i="47"/>
  <c r="G552" i="47" s="1"/>
  <c r="G588" i="47" s="1"/>
  <c r="D515" i="47"/>
  <c r="D551" i="47" s="1"/>
  <c r="D587" i="47" s="1"/>
  <c r="C586" i="47"/>
  <c r="B2706" i="47"/>
  <c r="C2742" i="47" s="1"/>
  <c r="G2705" i="47"/>
  <c r="H2741" i="47" s="1"/>
  <c r="F2700" i="47"/>
  <c r="G2736" i="47" s="1"/>
  <c r="I2699" i="47"/>
  <c r="J2735" i="47" s="1"/>
  <c r="G2706" i="47"/>
  <c r="H2742" i="47" s="1"/>
  <c r="C2706" i="47"/>
  <c r="D2742" i="47" s="1"/>
  <c r="F2705" i="47"/>
  <c r="G2741" i="47" s="1"/>
  <c r="I2704" i="47"/>
  <c r="J2740" i="47" s="1"/>
  <c r="C2704" i="47"/>
  <c r="D2740" i="47" s="1"/>
  <c r="F2702" i="47"/>
  <c r="G2738" i="47" s="1"/>
  <c r="F2706" i="47"/>
  <c r="G2742" i="47" s="1"/>
  <c r="E2705" i="47"/>
  <c r="F2741" i="47" s="1"/>
  <c r="G2704" i="47"/>
  <c r="H2740" i="47" s="1"/>
  <c r="B2704" i="47"/>
  <c r="C2740" i="47" s="1"/>
  <c r="C2702" i="47"/>
  <c r="D2738" i="47" s="1"/>
  <c r="C2699" i="47"/>
  <c r="D2735" i="47" s="1"/>
  <c r="I2706" i="47"/>
  <c r="J2742" i="47" s="1"/>
  <c r="F2704" i="47"/>
  <c r="G2740" i="47" s="1"/>
  <c r="B2694" i="47"/>
  <c r="C2730" i="47" s="1"/>
  <c r="I2702" i="47"/>
  <c r="J2738" i="47" s="1"/>
  <c r="H2702" i="47"/>
  <c r="I2738" i="47" s="1"/>
  <c r="B2703" i="47"/>
  <c r="C2739" i="47" s="1"/>
  <c r="B2702" i="47"/>
  <c r="C2738" i="47" s="1"/>
  <c r="E2700" i="47"/>
  <c r="F2736" i="47" s="1"/>
  <c r="B2699" i="47"/>
  <c r="C2735" i="47" s="1"/>
  <c r="G2703" i="47"/>
  <c r="H2739" i="47" s="1"/>
  <c r="B2700" i="47"/>
  <c r="C2736" i="47" s="1"/>
  <c r="G2701" i="47"/>
  <c r="H2737" i="47" s="1"/>
  <c r="F2701" i="47"/>
  <c r="G2737" i="47" s="1"/>
  <c r="E2695" i="47"/>
  <c r="F2731" i="47" s="1"/>
  <c r="D2699" i="47"/>
  <c r="E2735" i="47" s="1"/>
  <c r="C2700" i="47"/>
  <c r="D2736" i="47" s="1"/>
  <c r="B2698" i="47"/>
  <c r="C2734" i="47" s="1"/>
  <c r="C1420" i="47"/>
  <c r="U1476" i="47" s="1"/>
  <c r="U1583" i="47" s="1"/>
  <c r="B2771" i="47"/>
  <c r="B2928" i="47" s="1"/>
  <c r="I2696" i="47"/>
  <c r="J2732" i="47" s="1"/>
  <c r="I2694" i="47"/>
  <c r="J2730" i="47" s="1"/>
  <c r="H2692" i="47"/>
  <c r="I2728" i="47" s="1"/>
  <c r="G2694" i="47"/>
  <c r="H2730" i="47" s="1"/>
  <c r="F2682" i="47"/>
  <c r="G2718" i="47" s="1"/>
  <c r="E2694" i="47"/>
  <c r="F2730" i="47" s="1"/>
  <c r="D2688" i="47"/>
  <c r="E2724" i="47" s="1"/>
  <c r="C2690" i="47"/>
  <c r="D2726" i="47" s="1"/>
  <c r="B2686" i="47"/>
  <c r="C2722" i="47" s="1"/>
  <c r="B860" i="47"/>
  <c r="K3331" i="47" s="1"/>
  <c r="I2703" i="47"/>
  <c r="J2739" i="47" s="1"/>
  <c r="E2703" i="47"/>
  <c r="F2739" i="47" s="1"/>
  <c r="E2702" i="47"/>
  <c r="F2738" i="47" s="1"/>
  <c r="C2701" i="47"/>
  <c r="D2737" i="47" s="1"/>
  <c r="D2700" i="47"/>
  <c r="E2736" i="47" s="1"/>
  <c r="E2699" i="47"/>
  <c r="F2735" i="47" s="1"/>
  <c r="C2698" i="47"/>
  <c r="D2734" i="47" s="1"/>
  <c r="B2696" i="47"/>
  <c r="C2732" i="47" s="1"/>
  <c r="B859" i="47"/>
  <c r="C852" i="47"/>
  <c r="L3323" i="47" s="1"/>
  <c r="B843" i="47"/>
  <c r="D509" i="47"/>
  <c r="D545" i="47" s="1"/>
  <c r="D581" i="47" s="1"/>
  <c r="H2705" i="47"/>
  <c r="I2741" i="47" s="1"/>
  <c r="D2705" i="47"/>
  <c r="E2741" i="47" s="1"/>
  <c r="H2704" i="47"/>
  <c r="I2740" i="47" s="1"/>
  <c r="D2704" i="47"/>
  <c r="E2740" i="47" s="1"/>
  <c r="H2703" i="47"/>
  <c r="I2739" i="47" s="1"/>
  <c r="D2703" i="47"/>
  <c r="E2739" i="47" s="1"/>
  <c r="D2702" i="47"/>
  <c r="E2738" i="47" s="1"/>
  <c r="B2701" i="47"/>
  <c r="C2737" i="47" s="1"/>
  <c r="B1956" i="47"/>
  <c r="I2695" i="47"/>
  <c r="J2731" i="47" s="1"/>
  <c r="G2691" i="47"/>
  <c r="H2727" i="47" s="1"/>
  <c r="B850" i="47"/>
  <c r="K3321" i="47" s="1"/>
  <c r="B844" i="47"/>
  <c r="K3315" i="47" s="1"/>
  <c r="B1955" i="47"/>
  <c r="B867" i="47"/>
  <c r="K3338" i="47" s="1"/>
  <c r="C860" i="47"/>
  <c r="L3331" i="47" s="1"/>
  <c r="C856" i="47"/>
  <c r="B849" i="47"/>
  <c r="K3320" i="47" s="1"/>
  <c r="C844" i="47"/>
  <c r="L3315" i="47" s="1"/>
  <c r="B842" i="47"/>
  <c r="K3313" i="47" s="1"/>
  <c r="C849" i="47"/>
  <c r="L3320" i="47" s="1"/>
  <c r="B863" i="47"/>
  <c r="K3334" i="47" s="1"/>
  <c r="I2701" i="47"/>
  <c r="J2737" i="47" s="1"/>
  <c r="I2700" i="47"/>
  <c r="J2736" i="47" s="1"/>
  <c r="I2698" i="47"/>
  <c r="J2734" i="47" s="1"/>
  <c r="I2697" i="47"/>
  <c r="J2733" i="47" s="1"/>
  <c r="E2696" i="47"/>
  <c r="F2732" i="47" s="1"/>
  <c r="F2694" i="47"/>
  <c r="G2730" i="47" s="1"/>
  <c r="H2701" i="47"/>
  <c r="I2737" i="47" s="1"/>
  <c r="G2700" i="47"/>
  <c r="H2736" i="47" s="1"/>
  <c r="E2698" i="47"/>
  <c r="F2734" i="47" s="1"/>
  <c r="E2697" i="47"/>
  <c r="F2733" i="47" s="1"/>
  <c r="H2700" i="47"/>
  <c r="I2736" i="47" s="1"/>
  <c r="H2699" i="47"/>
  <c r="I2735" i="47" s="1"/>
  <c r="H2698" i="47"/>
  <c r="I2734" i="47" s="1"/>
  <c r="D2698" i="47"/>
  <c r="E2734" i="47" s="1"/>
  <c r="H2697" i="47"/>
  <c r="I2733" i="47" s="1"/>
  <c r="D2697" i="47"/>
  <c r="E2733" i="47" s="1"/>
  <c r="H2696" i="47"/>
  <c r="I2732" i="47" s="1"/>
  <c r="D2696" i="47"/>
  <c r="E2732" i="47" s="1"/>
  <c r="H2695" i="47"/>
  <c r="I2731" i="47" s="1"/>
  <c r="D2695" i="47"/>
  <c r="E2731" i="47" s="1"/>
  <c r="D2693" i="47"/>
  <c r="E2729" i="47" s="1"/>
  <c r="G2690" i="47"/>
  <c r="H2726" i="47" s="1"/>
  <c r="AC1485" i="47"/>
  <c r="AC1757" i="47" s="1"/>
  <c r="F1123" i="47"/>
  <c r="B853" i="47"/>
  <c r="K3324" i="47" s="1"/>
  <c r="G2699" i="47"/>
  <c r="H2735" i="47" s="1"/>
  <c r="G2698" i="47"/>
  <c r="H2734" i="47" s="1"/>
  <c r="G2697" i="47"/>
  <c r="H2733" i="47" s="1"/>
  <c r="C2697" i="47"/>
  <c r="D2733" i="47" s="1"/>
  <c r="G2696" i="47"/>
  <c r="H2732" i="47" s="1"/>
  <c r="C2696" i="47"/>
  <c r="D2732" i="47" s="1"/>
  <c r="G2695" i="47"/>
  <c r="H2731" i="47" s="1"/>
  <c r="C2695" i="47"/>
  <c r="D2731" i="47" s="1"/>
  <c r="D2694" i="47"/>
  <c r="E2730" i="47" s="1"/>
  <c r="B2693" i="47"/>
  <c r="C2729" i="47" s="1"/>
  <c r="F2689" i="47"/>
  <c r="G2725" i="47" s="1"/>
  <c r="Y1486" i="47"/>
  <c r="Y1758" i="47" s="1"/>
  <c r="B861" i="47"/>
  <c r="K3332" i="47" s="1"/>
  <c r="B780" i="47"/>
  <c r="B862" i="47"/>
  <c r="K3333" i="47" s="1"/>
  <c r="B852" i="47"/>
  <c r="K3323" i="47" s="1"/>
  <c r="F2699" i="47"/>
  <c r="G2735" i="47" s="1"/>
  <c r="F2698" i="47"/>
  <c r="G2734" i="47" s="1"/>
  <c r="F2697" i="47"/>
  <c r="G2733" i="47" s="1"/>
  <c r="F2696" i="47"/>
  <c r="G2732" i="47" s="1"/>
  <c r="F2695" i="47"/>
  <c r="G2731" i="47" s="1"/>
  <c r="B2695" i="47"/>
  <c r="C2731" i="47" s="1"/>
  <c r="C2694" i="47"/>
  <c r="D2730" i="47" s="1"/>
  <c r="G2692" i="47"/>
  <c r="H2728" i="47" s="1"/>
  <c r="B2688" i="47"/>
  <c r="C2724" i="47" s="1"/>
  <c r="U1487" i="47"/>
  <c r="U1759" i="47" s="1"/>
  <c r="E1486" i="47"/>
  <c r="E1758" i="47" s="1"/>
  <c r="H2693" i="47"/>
  <c r="I2729" i="47" s="1"/>
  <c r="C2693" i="47"/>
  <c r="D2729" i="47" s="1"/>
  <c r="D2692" i="47"/>
  <c r="E2728" i="47" s="1"/>
  <c r="F2691" i="47"/>
  <c r="G2727" i="47" s="1"/>
  <c r="D2690" i="47"/>
  <c r="E2726" i="47" s="1"/>
  <c r="D2689" i="47"/>
  <c r="E2725" i="47" s="1"/>
  <c r="F2687" i="47"/>
  <c r="G2723" i="47" s="1"/>
  <c r="D1962" i="47"/>
  <c r="D1980" i="47" s="1"/>
  <c r="AK1988" i="47" s="1"/>
  <c r="H2694" i="47"/>
  <c r="I2730" i="47" s="1"/>
  <c r="G2693" i="47"/>
  <c r="H2729" i="47" s="1"/>
  <c r="C2692" i="47"/>
  <c r="D2728" i="47" s="1"/>
  <c r="D2691" i="47"/>
  <c r="E2727" i="47" s="1"/>
  <c r="B2689" i="47"/>
  <c r="C2725" i="47" s="1"/>
  <c r="F2686" i="47"/>
  <c r="G2722" i="47" s="1"/>
  <c r="F2693" i="47"/>
  <c r="G2729" i="47" s="1"/>
  <c r="B2692" i="47"/>
  <c r="C2728" i="47" s="1"/>
  <c r="B2691" i="47"/>
  <c r="C2727" i="47" s="1"/>
  <c r="B2690" i="47"/>
  <c r="C2726" i="47" s="1"/>
  <c r="H1101" i="47"/>
  <c r="F2685" i="47"/>
  <c r="G2721" i="47" s="1"/>
  <c r="AK1487" i="47"/>
  <c r="AK1759" i="47" s="1"/>
  <c r="H1131" i="47"/>
  <c r="H1112" i="47"/>
  <c r="C1086" i="47"/>
  <c r="G1086" i="47" s="1"/>
  <c r="H2690" i="47"/>
  <c r="I2726" i="47" s="1"/>
  <c r="F2684" i="47"/>
  <c r="G2720" i="47" s="1"/>
  <c r="B2687" i="47"/>
  <c r="C2723" i="47" s="1"/>
  <c r="F1131" i="47"/>
  <c r="F1120" i="47"/>
  <c r="F1098" i="47"/>
  <c r="D1131" i="47"/>
  <c r="G510" i="47"/>
  <c r="G546" i="47" s="1"/>
  <c r="G582" i="47" s="1"/>
  <c r="G508" i="47"/>
  <c r="G544" i="47" s="1"/>
  <c r="G580" i="47" s="1"/>
  <c r="D507" i="47"/>
  <c r="D543" i="47" s="1"/>
  <c r="D579" i="47" s="1"/>
  <c r="AK1476" i="47"/>
  <c r="AK1583" i="47" s="1"/>
  <c r="F1109" i="47"/>
  <c r="H1070" i="47"/>
  <c r="K124" i="46"/>
  <c r="H1078" i="47"/>
  <c r="G506" i="47"/>
  <c r="G542" i="47" s="1"/>
  <c r="G578" i="47" s="1"/>
  <c r="G504" i="47"/>
  <c r="G540" i="47" s="1"/>
  <c r="G576" i="47" s="1"/>
  <c r="K106" i="46"/>
  <c r="H2687" i="47"/>
  <c r="I2723" i="47" s="1"/>
  <c r="F2690" i="47"/>
  <c r="G2726" i="47" s="1"/>
  <c r="D2683" i="47"/>
  <c r="E2719" i="47" s="1"/>
  <c r="C2691" i="47"/>
  <c r="D2727" i="47" s="1"/>
  <c r="B2685" i="47"/>
  <c r="C2721" i="47" s="1"/>
  <c r="D1960" i="47"/>
  <c r="D1978" i="47" s="1"/>
  <c r="AC1988" i="47" s="1"/>
  <c r="C1846" i="47"/>
  <c r="B1858" i="47" s="1"/>
  <c r="AC1473" i="47"/>
  <c r="AC1582" i="47" s="1"/>
  <c r="E1476" i="47"/>
  <c r="E1583" i="47" s="1"/>
  <c r="H1140" i="47"/>
  <c r="H1139" i="47"/>
  <c r="H1133" i="47"/>
  <c r="H1120" i="47"/>
  <c r="F1106" i="47"/>
  <c r="H1081" i="47"/>
  <c r="C1078" i="47"/>
  <c r="G1078" i="47" s="1"/>
  <c r="H1065" i="47"/>
  <c r="E502" i="47"/>
  <c r="E538" i="47" s="1"/>
  <c r="E574" i="47" s="1"/>
  <c r="E1189" i="47"/>
  <c r="D842" i="47"/>
  <c r="K135" i="46"/>
  <c r="F2688" i="47"/>
  <c r="G2724" i="47" s="1"/>
  <c r="H2684" i="47"/>
  <c r="I2720" i="47" s="1"/>
  <c r="D2680" i="47"/>
  <c r="E2716" i="47" s="1"/>
  <c r="B2683" i="47"/>
  <c r="C2719" i="47" s="1"/>
  <c r="D1958" i="47"/>
  <c r="D1976" i="47" s="1"/>
  <c r="U1988" i="47" s="1"/>
  <c r="C1833" i="47"/>
  <c r="F1142" i="47"/>
  <c r="E1140" i="47"/>
  <c r="F1139" i="47"/>
  <c r="F1133" i="47"/>
  <c r="H1125" i="47"/>
  <c r="C1120" i="47"/>
  <c r="C1112" i="47"/>
  <c r="C1101" i="47"/>
  <c r="G1101" i="47" s="1"/>
  <c r="H1086" i="47"/>
  <c r="D2687" i="47"/>
  <c r="E2723" i="47" s="1"/>
  <c r="D2686" i="47"/>
  <c r="E2722" i="47" s="1"/>
  <c r="D2685" i="47"/>
  <c r="E2721" i="47" s="1"/>
  <c r="B2684" i="47"/>
  <c r="C2720" i="47" s="1"/>
  <c r="B2682" i="47"/>
  <c r="C2718" i="47" s="1"/>
  <c r="I2692" i="47"/>
  <c r="J2728" i="47" s="1"/>
  <c r="H2681" i="47"/>
  <c r="I2717" i="47" s="1"/>
  <c r="G2687" i="47"/>
  <c r="H2723" i="47" s="1"/>
  <c r="D2682" i="47"/>
  <c r="E2718" i="47" s="1"/>
  <c r="E1487" i="47"/>
  <c r="E1759" i="47" s="1"/>
  <c r="U1486" i="47"/>
  <c r="U1758" i="47" s="1"/>
  <c r="AC1476" i="47"/>
  <c r="AC1583" i="47" s="1"/>
  <c r="D1449" i="47"/>
  <c r="E1136" i="47"/>
  <c r="F1128" i="47"/>
  <c r="C1123" i="47"/>
  <c r="C1109" i="47"/>
  <c r="G1109" i="47" s="1"/>
  <c r="E1183" i="47" s="1"/>
  <c r="C1098" i="47"/>
  <c r="G1098" i="47" s="1"/>
  <c r="E1180" i="47" s="1"/>
  <c r="C3037" i="47" s="1"/>
  <c r="F1075" i="47"/>
  <c r="H1069" i="47"/>
  <c r="H1063" i="47"/>
  <c r="D849" i="47"/>
  <c r="G500" i="47"/>
  <c r="G536" i="47" s="1"/>
  <c r="G572" i="47" s="1"/>
  <c r="F2683" i="47"/>
  <c r="G2719" i="47" s="1"/>
  <c r="D2681" i="47"/>
  <c r="E2717" i="47" s="1"/>
  <c r="H1093" i="47"/>
  <c r="H1089" i="47"/>
  <c r="F1177" i="47" s="1"/>
  <c r="D865" i="47"/>
  <c r="B847" i="47"/>
  <c r="K3318" i="47" s="1"/>
  <c r="B841" i="47"/>
  <c r="K3312" i="47" s="1"/>
  <c r="K134" i="46"/>
  <c r="F2692" i="47"/>
  <c r="G2728" i="47" s="1"/>
  <c r="H2691" i="47"/>
  <c r="I2727" i="47" s="1"/>
  <c r="H2689" i="47"/>
  <c r="I2725" i="47" s="1"/>
  <c r="H2688" i="47"/>
  <c r="I2724" i="47" s="1"/>
  <c r="H2686" i="47"/>
  <c r="I2722" i="47" s="1"/>
  <c r="H2685" i="47"/>
  <c r="I2721" i="47" s="1"/>
  <c r="D1954" i="47"/>
  <c r="D1972" i="47" s="1"/>
  <c r="E1988" i="47" s="1"/>
  <c r="Y1487" i="47"/>
  <c r="Y1759" i="47" s="1"/>
  <c r="AC1486" i="47"/>
  <c r="AC1758" i="47" s="1"/>
  <c r="Y1485" i="47"/>
  <c r="Y1757" i="47" s="1"/>
  <c r="D1450" i="47"/>
  <c r="D1444" i="47"/>
  <c r="E1193" i="47"/>
  <c r="I1136" i="47"/>
  <c r="E1190" i="47"/>
  <c r="D1133" i="47"/>
  <c r="H1123" i="47"/>
  <c r="H1115" i="47"/>
  <c r="F1112" i="47"/>
  <c r="H1109" i="47"/>
  <c r="H1103" i="47"/>
  <c r="F1101" i="47"/>
  <c r="H1098" i="47"/>
  <c r="D1093" i="47"/>
  <c r="C1089" i="47"/>
  <c r="G1089" i="47" s="1"/>
  <c r="E1177" i="47" s="1"/>
  <c r="C3034" i="47" s="1"/>
  <c r="F1086" i="47"/>
  <c r="F1083" i="47"/>
  <c r="F1070" i="47"/>
  <c r="H1067" i="47"/>
  <c r="F1065" i="47"/>
  <c r="H1150" i="47"/>
  <c r="H1147" i="47"/>
  <c r="B2769" i="47"/>
  <c r="B2926" i="47" s="1"/>
  <c r="B1602" i="47"/>
  <c r="G1115" i="47"/>
  <c r="E4233" i="47"/>
  <c r="I113" i="46"/>
  <c r="C1452" i="47"/>
  <c r="C1450" i="47"/>
  <c r="C1448" i="47"/>
  <c r="D1155" i="47"/>
  <c r="F1152" i="47"/>
  <c r="E1150" i="47"/>
  <c r="E1192" i="47"/>
  <c r="I1133" i="47"/>
  <c r="H1128" i="47"/>
  <c r="C1125" i="47"/>
  <c r="C1117" i="47"/>
  <c r="F1115" i="47"/>
  <c r="H1106" i="47"/>
  <c r="C1103" i="47"/>
  <c r="G1103" i="47" s="1"/>
  <c r="C1095" i="47"/>
  <c r="G1095" i="47" s="1"/>
  <c r="E1179" i="47" s="1"/>
  <c r="C3036" i="47" s="1"/>
  <c r="F1093" i="47"/>
  <c r="H1083" i="47"/>
  <c r="C1081" i="47"/>
  <c r="F1078" i="47"/>
  <c r="H1075" i="47"/>
  <c r="H1074" i="47"/>
  <c r="C1073" i="47"/>
  <c r="G1073" i="47" s="1"/>
  <c r="H1066" i="47"/>
  <c r="H1062" i="47"/>
  <c r="E516" i="47"/>
  <c r="E552" i="47" s="1"/>
  <c r="E588" i="47" s="1"/>
  <c r="E512" i="47"/>
  <c r="E548" i="47" s="1"/>
  <c r="E584" i="47" s="1"/>
  <c r="I580" i="47"/>
  <c r="F575" i="47"/>
  <c r="E500" i="47"/>
  <c r="E536" i="47" s="1"/>
  <c r="E572" i="47" s="1"/>
  <c r="F577" i="47"/>
  <c r="I108" i="46"/>
  <c r="H2682" i="47"/>
  <c r="I2718" i="47" s="1"/>
  <c r="H2680" i="47"/>
  <c r="I2716" i="47" s="1"/>
  <c r="C1848" i="47"/>
  <c r="B1860" i="47" s="1"/>
  <c r="E1195" i="47"/>
  <c r="D1115" i="47"/>
  <c r="E506" i="47"/>
  <c r="E542" i="47" s="1"/>
  <c r="E578" i="47" s="1"/>
  <c r="C572" i="47"/>
  <c r="H2683" i="47"/>
  <c r="I2719" i="47" s="1"/>
  <c r="I1155" i="47"/>
  <c r="C1128" i="47"/>
  <c r="F1125" i="47"/>
  <c r="H1117" i="47"/>
  <c r="C1106" i="47"/>
  <c r="G1106" i="47" s="1"/>
  <c r="E1182" i="47" s="1"/>
  <c r="F1103" i="47"/>
  <c r="H1095" i="47"/>
  <c r="F1089" i="47"/>
  <c r="D1177" i="47" s="1"/>
  <c r="C1083" i="47"/>
  <c r="F1081" i="47"/>
  <c r="C1075" i="47"/>
  <c r="G1075" i="47" s="1"/>
  <c r="H1073" i="47"/>
  <c r="H1071" i="47"/>
  <c r="F1172" i="47" s="1"/>
  <c r="F1067" i="47"/>
  <c r="C1063" i="47"/>
  <c r="G1063" i="47" s="1"/>
  <c r="E522" i="47"/>
  <c r="E558" i="47" s="1"/>
  <c r="E594" i="47" s="1"/>
  <c r="E510" i="47"/>
  <c r="E546" i="47" s="1"/>
  <c r="E582" i="47" s="1"/>
  <c r="E504" i="47"/>
  <c r="E540" i="47" s="1"/>
  <c r="E576" i="47" s="1"/>
  <c r="D571" i="47"/>
  <c r="K141" i="46"/>
  <c r="K129" i="46"/>
  <c r="I125" i="46"/>
  <c r="C1849" i="47"/>
  <c r="B1861" i="47" s="1"/>
  <c r="C1847" i="47"/>
  <c r="B1859" i="47" s="1"/>
  <c r="Y1473" i="47"/>
  <c r="Y1582" i="47" s="1"/>
  <c r="H1155" i="47"/>
  <c r="H1132" i="47"/>
  <c r="F1117" i="47"/>
  <c r="F1095" i="47"/>
  <c r="E1176" i="47"/>
  <c r="C3033" i="47" s="1"/>
  <c r="F1073" i="47"/>
  <c r="I114" i="46"/>
  <c r="K138" i="46"/>
  <c r="K128" i="46"/>
  <c r="I109" i="46"/>
  <c r="K67" i="46"/>
  <c r="I2680" i="47"/>
  <c r="J2716" i="47" s="1"/>
  <c r="G2680" i="47"/>
  <c r="H2716" i="47" s="1"/>
  <c r="E2680" i="47"/>
  <c r="F2716" i="47" s="1"/>
  <c r="C2680" i="47"/>
  <c r="D2716" i="47" s="1"/>
  <c r="D1849" i="47"/>
  <c r="C1861" i="47" s="1"/>
  <c r="D1848" i="47"/>
  <c r="C1860" i="47" s="1"/>
  <c r="D1847" i="47"/>
  <c r="C1859" i="47" s="1"/>
  <c r="D1846" i="47"/>
  <c r="C1858" i="47" s="1"/>
  <c r="D1833" i="47"/>
  <c r="F2680" i="47"/>
  <c r="G2716" i="47" s="1"/>
  <c r="E2692" i="47"/>
  <c r="F2728" i="47" s="1"/>
  <c r="C2687" i="47"/>
  <c r="D2723" i="47" s="1"/>
  <c r="B2680" i="47"/>
  <c r="C2716" i="47" s="1"/>
  <c r="E1451" i="47"/>
  <c r="C1451" i="47"/>
  <c r="D1451" i="47"/>
  <c r="E1447" i="47"/>
  <c r="C1447" i="47"/>
  <c r="D1447" i="47"/>
  <c r="B648" i="47"/>
  <c r="B663" i="47" s="1"/>
  <c r="B662" i="47"/>
  <c r="D2684" i="47"/>
  <c r="E2720" i="47" s="1"/>
  <c r="C1449" i="47"/>
  <c r="F1153" i="47"/>
  <c r="I1152" i="47"/>
  <c r="E1152" i="47"/>
  <c r="I1150" i="47"/>
  <c r="D1150" i="47"/>
  <c r="F1146" i="47"/>
  <c r="F1143" i="47"/>
  <c r="I1142" i="47"/>
  <c r="E1142" i="47"/>
  <c r="I1140" i="47"/>
  <c r="D1140" i="47"/>
  <c r="C1062" i="47"/>
  <c r="G1062" i="47" s="1"/>
  <c r="C1061" i="47"/>
  <c r="G1061" i="47" s="1"/>
  <c r="I1156" i="47"/>
  <c r="G1196" i="47" s="1"/>
  <c r="I1153" i="47"/>
  <c r="E1153" i="47"/>
  <c r="H1152" i="47"/>
  <c r="D1152" i="47"/>
  <c r="F1147" i="47"/>
  <c r="I1143" i="47"/>
  <c r="E1143" i="47"/>
  <c r="H1142" i="47"/>
  <c r="D1142" i="47"/>
  <c r="H1135" i="47"/>
  <c r="D1189" i="47"/>
  <c r="H1077" i="47"/>
  <c r="D864" i="47"/>
  <c r="D860" i="47"/>
  <c r="D850" i="47"/>
  <c r="D844" i="47"/>
  <c r="D1452" i="47"/>
  <c r="D1448" i="47"/>
  <c r="E1196" i="47"/>
  <c r="E1155" i="47"/>
  <c r="C1196" i="47" s="1"/>
  <c r="H1153" i="47"/>
  <c r="E1194" i="47"/>
  <c r="I1144" i="47"/>
  <c r="H1143" i="47"/>
  <c r="F1135" i="47"/>
  <c r="D1190" i="47" s="1"/>
  <c r="C1077" i="47"/>
  <c r="G1077" i="47" s="1"/>
  <c r="C1074" i="47"/>
  <c r="G1074" i="47" s="1"/>
  <c r="E1173" i="47" s="1"/>
  <c r="C1071" i="47"/>
  <c r="D1070" i="47"/>
  <c r="B1172" i="47" s="1"/>
  <c r="C1069" i="47"/>
  <c r="D1067" i="47"/>
  <c r="C1066" i="47"/>
  <c r="G1066" i="47" s="1"/>
  <c r="E1171" i="47" s="1"/>
  <c r="C3030" i="47" s="1"/>
  <c r="D1065" i="47"/>
  <c r="F1063" i="47"/>
  <c r="F1062" i="47"/>
  <c r="H1061" i="47"/>
  <c r="B661" i="47"/>
  <c r="B677" i="47" s="1"/>
  <c r="E1191" i="47"/>
  <c r="F1061" i="47"/>
  <c r="D862" i="47"/>
  <c r="D852" i="47"/>
  <c r="F40" i="28"/>
  <c r="G40" i="28"/>
  <c r="G48" i="28" s="1"/>
  <c r="G50" i="28"/>
  <c r="J40" i="28"/>
  <c r="J22" i="32"/>
  <c r="H22" i="32"/>
  <c r="K22" i="32"/>
  <c r="I22" i="32"/>
  <c r="Y28" i="32"/>
  <c r="AE28" i="32" s="1"/>
  <c r="K20" i="32" s="1"/>
  <c r="I20" i="32"/>
  <c r="J21" i="32"/>
  <c r="I21" i="32"/>
  <c r="H19" i="32"/>
  <c r="H21" i="32"/>
  <c r="K19" i="32"/>
  <c r="I19" i="32"/>
  <c r="K21" i="32"/>
  <c r="H20" i="32"/>
  <c r="J19" i="32"/>
  <c r="W34" i="31"/>
  <c r="B95" i="38" s="1"/>
  <c r="B95" i="37"/>
  <c r="W36" i="31"/>
  <c r="B97" i="38" s="1"/>
  <c r="B97" i="37"/>
  <c r="C98" i="37"/>
  <c r="AI29" i="31"/>
  <c r="B90" i="38" s="1"/>
  <c r="B90" i="37"/>
  <c r="AK29" i="31"/>
  <c r="D90" i="38" s="1"/>
  <c r="D90" i="37"/>
  <c r="T11" i="31"/>
  <c r="C72" i="36" s="1"/>
  <c r="T12" i="31"/>
  <c r="C73" i="36" s="1"/>
  <c r="T13" i="31"/>
  <c r="C74" i="36" s="1"/>
  <c r="T14" i="31"/>
  <c r="C75" i="36" s="1"/>
  <c r="T15" i="31"/>
  <c r="C76" i="36" s="1"/>
  <c r="T16" i="31"/>
  <c r="C77" i="36" s="1"/>
  <c r="T17" i="31"/>
  <c r="C78" i="36" s="1"/>
  <c r="F48" i="28"/>
  <c r="F46" i="28"/>
  <c r="F47" i="28" s="1"/>
  <c r="B325" i="34" s="1"/>
  <c r="H46" i="28"/>
  <c r="H47" i="28" s="1"/>
  <c r="B325" i="36" s="1"/>
  <c r="H48" i="28"/>
  <c r="I46" i="28"/>
  <c r="I47" i="28" s="1"/>
  <c r="B325" i="37" s="1"/>
  <c r="I48" i="28"/>
  <c r="J48" i="28"/>
  <c r="J46" i="28"/>
  <c r="J47" i="28" s="1"/>
  <c r="B325" i="38" s="1"/>
  <c r="K18" i="32"/>
  <c r="D10" i="39"/>
  <c r="C333" i="39" s="1"/>
  <c r="N6" i="32"/>
  <c r="R6" i="32" s="1"/>
  <c r="V6" i="32" s="1"/>
  <c r="Z6" i="32" s="1"/>
  <c r="AD6" i="32" s="1"/>
  <c r="D96" i="35"/>
  <c r="D95" i="35"/>
  <c r="E93" i="35"/>
  <c r="D98" i="35"/>
  <c r="D97" i="35"/>
  <c r="B96" i="37"/>
  <c r="W35" i="31"/>
  <c r="B96" i="38" s="1"/>
  <c r="X36" i="31"/>
  <c r="C97" i="38" s="1"/>
  <c r="C97" i="37"/>
  <c r="E98" i="36"/>
  <c r="E97" i="36"/>
  <c r="F93" i="36"/>
  <c r="E96" i="36"/>
  <c r="E95" i="36"/>
  <c r="AJ29" i="31"/>
  <c r="C90" i="38" s="1"/>
  <c r="C90" i="37"/>
  <c r="C95" i="37"/>
  <c r="X34" i="31"/>
  <c r="C95" i="38" s="1"/>
  <c r="W37" i="31"/>
  <c r="B98" i="38" s="1"/>
  <c r="B98" i="37"/>
  <c r="C98" i="35"/>
  <c r="D98" i="38"/>
  <c r="E93" i="38"/>
  <c r="C96" i="37"/>
  <c r="D93" i="37"/>
  <c r="D96" i="36"/>
  <c r="E95" i="34"/>
  <c r="F93" i="34"/>
  <c r="B69" i="35"/>
  <c r="S8" i="31"/>
  <c r="B70" i="35"/>
  <c r="S9" i="31"/>
  <c r="B71" i="35"/>
  <c r="S10" i="31"/>
  <c r="B79" i="35"/>
  <c r="S18" i="31"/>
  <c r="B80" i="35"/>
  <c r="S19" i="31"/>
  <c r="B81" i="35"/>
  <c r="S20" i="31"/>
  <c r="B82" i="35"/>
  <c r="S21" i="31"/>
  <c r="B83" i="35"/>
  <c r="S22" i="31"/>
  <c r="I132" i="46"/>
  <c r="K132" i="46"/>
  <c r="C96" i="35"/>
  <c r="D98" i="36"/>
  <c r="E97" i="34"/>
  <c r="C68" i="35"/>
  <c r="T7" i="31"/>
  <c r="C69" i="35"/>
  <c r="T8" i="31"/>
  <c r="C70" i="35"/>
  <c r="T9" i="31"/>
  <c r="C71" i="35"/>
  <c r="T10" i="31"/>
  <c r="C79" i="35"/>
  <c r="T18" i="31"/>
  <c r="C80" i="35"/>
  <c r="T19" i="31"/>
  <c r="C81" i="35"/>
  <c r="T20" i="31"/>
  <c r="C82" i="35"/>
  <c r="T21" i="31"/>
  <c r="C83" i="35"/>
  <c r="T22" i="31"/>
  <c r="C156" i="46"/>
  <c r="K121" i="46"/>
  <c r="K110" i="46"/>
  <c r="K105" i="46"/>
  <c r="K83" i="46"/>
  <c r="K78" i="46"/>
  <c r="K71" i="46"/>
  <c r="K55" i="46"/>
  <c r="G2689" i="47"/>
  <c r="H2725" i="47" s="1"/>
  <c r="C2689" i="47"/>
  <c r="D2725" i="47" s="1"/>
  <c r="G2688" i="47"/>
  <c r="H2724" i="47" s="1"/>
  <c r="C2688" i="47"/>
  <c r="D2724" i="47" s="1"/>
  <c r="G2686" i="47"/>
  <c r="H2722" i="47" s="1"/>
  <c r="C2686" i="47"/>
  <c r="D2722" i="47" s="1"/>
  <c r="G2685" i="47"/>
  <c r="H2721" i="47" s="1"/>
  <c r="C2685" i="47"/>
  <c r="D2721" i="47" s="1"/>
  <c r="G2684" i="47"/>
  <c r="H2720" i="47" s="1"/>
  <c r="C2684" i="47"/>
  <c r="D2720" i="47" s="1"/>
  <c r="G2683" i="47"/>
  <c r="H2719" i="47" s="1"/>
  <c r="C2683" i="47"/>
  <c r="D2719" i="47" s="1"/>
  <c r="G2682" i="47"/>
  <c r="H2718" i="47" s="1"/>
  <c r="C2682" i="47"/>
  <c r="D2718" i="47" s="1"/>
  <c r="G2681" i="47"/>
  <c r="H2717" i="47" s="1"/>
  <c r="C2681" i="47"/>
  <c r="D2717" i="47" s="1"/>
  <c r="F2681" i="47"/>
  <c r="G2717" i="47" s="1"/>
  <c r="B2681" i="47"/>
  <c r="C2717" i="47" s="1"/>
  <c r="I2693" i="47"/>
  <c r="J2729" i="47" s="1"/>
  <c r="E2693" i="47"/>
  <c r="F2729" i="47" s="1"/>
  <c r="I2691" i="47"/>
  <c r="J2727" i="47" s="1"/>
  <c r="E2691" i="47"/>
  <c r="F2727" i="47" s="1"/>
  <c r="I2690" i="47"/>
  <c r="J2726" i="47" s="1"/>
  <c r="E2690" i="47"/>
  <c r="F2726" i="47" s="1"/>
  <c r="I2689" i="47"/>
  <c r="J2725" i="47" s="1"/>
  <c r="E2689" i="47"/>
  <c r="F2725" i="47" s="1"/>
  <c r="I2688" i="47"/>
  <c r="J2724" i="47" s="1"/>
  <c r="E2688" i="47"/>
  <c r="F2724" i="47" s="1"/>
  <c r="I2687" i="47"/>
  <c r="J2723" i="47" s="1"/>
  <c r="E2687" i="47"/>
  <c r="F2723" i="47" s="1"/>
  <c r="I2686" i="47"/>
  <c r="J2722" i="47" s="1"/>
  <c r="E2686" i="47"/>
  <c r="F2722" i="47" s="1"/>
  <c r="I2685" i="47"/>
  <c r="J2721" i="47" s="1"/>
  <c r="E2685" i="47"/>
  <c r="F2721" i="47" s="1"/>
  <c r="I2684" i="47"/>
  <c r="J2720" i="47" s="1"/>
  <c r="E2684" i="47"/>
  <c r="F2720" i="47" s="1"/>
  <c r="I2683" i="47"/>
  <c r="J2719" i="47" s="1"/>
  <c r="E2683" i="47"/>
  <c r="F2719" i="47" s="1"/>
  <c r="I2682" i="47"/>
  <c r="J2718" i="47" s="1"/>
  <c r="E2682" i="47"/>
  <c r="F2718" i="47" s="1"/>
  <c r="I2681" i="47"/>
  <c r="J2717" i="47" s="1"/>
  <c r="E2681" i="47"/>
  <c r="F2717" i="47" s="1"/>
  <c r="B1170" i="47"/>
  <c r="E1174" i="47"/>
  <c r="E1181" i="47"/>
  <c r="C1192" i="47"/>
  <c r="E1170" i="47"/>
  <c r="AC1487" i="47"/>
  <c r="AC1759" i="47" s="1"/>
  <c r="AK1485" i="47"/>
  <c r="AK1757" i="47" s="1"/>
  <c r="U1485" i="47"/>
  <c r="U1757" i="47" s="1"/>
  <c r="E1485" i="47"/>
  <c r="E1757" i="47" s="1"/>
  <c r="Y1476" i="47"/>
  <c r="Y1583" i="47" s="1"/>
  <c r="AK1473" i="47"/>
  <c r="AK1582" i="47" s="1"/>
  <c r="U1473" i="47"/>
  <c r="U1582" i="47" s="1"/>
  <c r="E1473" i="47"/>
  <c r="E1582" i="47" s="1"/>
  <c r="E1446" i="47"/>
  <c r="D1445" i="47"/>
  <c r="C1444" i="47"/>
  <c r="E1229" i="47"/>
  <c r="D1246" i="47" s="1"/>
  <c r="C1226" i="47"/>
  <c r="B1243" i="47" s="1"/>
  <c r="B1532" i="47" s="1"/>
  <c r="E1225" i="47"/>
  <c r="D1242" i="47" s="1"/>
  <c r="D1513" i="47" s="1"/>
  <c r="C1210" i="47"/>
  <c r="C1230" i="47" s="1"/>
  <c r="B1247" i="47" s="1"/>
  <c r="F1155" i="47"/>
  <c r="B1195" i="47"/>
  <c r="D1149" i="47"/>
  <c r="B1194" i="47" s="1"/>
  <c r="I1146" i="47"/>
  <c r="F1144" i="47"/>
  <c r="E1139" i="47"/>
  <c r="I1139" i="47"/>
  <c r="E1138" i="47"/>
  <c r="I1135" i="47"/>
  <c r="D1135" i="47"/>
  <c r="E1132" i="47"/>
  <c r="E1131" i="47"/>
  <c r="I1131" i="47"/>
  <c r="D1129" i="47"/>
  <c r="E1128" i="47"/>
  <c r="I1128" i="47"/>
  <c r="D1127" i="47"/>
  <c r="E1125" i="47"/>
  <c r="I1125" i="47"/>
  <c r="D1124" i="47"/>
  <c r="B1187" i="47" s="1"/>
  <c r="E1123" i="47"/>
  <c r="I1123" i="47"/>
  <c r="D1121" i="47"/>
  <c r="E1120" i="47"/>
  <c r="I1120" i="47"/>
  <c r="D1119" i="47"/>
  <c r="E1117" i="47"/>
  <c r="I1117" i="47"/>
  <c r="D1116" i="47"/>
  <c r="E1115" i="47"/>
  <c r="I1115" i="47"/>
  <c r="D1113" i="47"/>
  <c r="E1112" i="47"/>
  <c r="I1112" i="47"/>
  <c r="D1111" i="47"/>
  <c r="E1109" i="47"/>
  <c r="I1109" i="47"/>
  <c r="D1108" i="47"/>
  <c r="B1183" i="47" s="1"/>
  <c r="E1106" i="47"/>
  <c r="I1106" i="47"/>
  <c r="D1105" i="47"/>
  <c r="B1182" i="47" s="1"/>
  <c r="E1103" i="47"/>
  <c r="I1103" i="47"/>
  <c r="D1102" i="47"/>
  <c r="B1181" i="47" s="1"/>
  <c r="E1101" i="47"/>
  <c r="I1101" i="47"/>
  <c r="D1099" i="47"/>
  <c r="E1098" i="47"/>
  <c r="I1098" i="47"/>
  <c r="D1097" i="47"/>
  <c r="E1095" i="47"/>
  <c r="I1095" i="47"/>
  <c r="D1094" i="47"/>
  <c r="E1093" i="47"/>
  <c r="I1093" i="47"/>
  <c r="D1091" i="47"/>
  <c r="B1178" i="47" s="1"/>
  <c r="E1089" i="47"/>
  <c r="C1177" i="47" s="1"/>
  <c r="I1089" i="47"/>
  <c r="G1177" i="47" s="1"/>
  <c r="D1087" i="47"/>
  <c r="E1086" i="47"/>
  <c r="I1086" i="47"/>
  <c r="D1085" i="47"/>
  <c r="E1083" i="47"/>
  <c r="I1083" i="47"/>
  <c r="D1082" i="47"/>
  <c r="E1081" i="47"/>
  <c r="I1081" i="47"/>
  <c r="D1079" i="47"/>
  <c r="B1174" i="47" s="1"/>
  <c r="E1078" i="47"/>
  <c r="I1078" i="47"/>
  <c r="E1075" i="47"/>
  <c r="I1075" i="47"/>
  <c r="E1073" i="47"/>
  <c r="I1073" i="47"/>
  <c r="E1070" i="47"/>
  <c r="I1070" i="47"/>
  <c r="E1067" i="47"/>
  <c r="I1067" i="47"/>
  <c r="E1065" i="47"/>
  <c r="I1065" i="47"/>
  <c r="E1062" i="47"/>
  <c r="I1062" i="47"/>
  <c r="D1446" i="47"/>
  <c r="C1231" i="47"/>
  <c r="B1248" i="47" s="1"/>
  <c r="C1227" i="47"/>
  <c r="B1244" i="47" s="1"/>
  <c r="C1223" i="47"/>
  <c r="B1240" i="47" s="1"/>
  <c r="B1531" i="47" s="1"/>
  <c r="D1156" i="47"/>
  <c r="B1196" i="47" s="1"/>
  <c r="H1156" i="47"/>
  <c r="H1149" i="47"/>
  <c r="F1194" i="47" s="1"/>
  <c r="D1146" i="47"/>
  <c r="B1193" i="47" s="1"/>
  <c r="H1146" i="47"/>
  <c r="I1138" i="47"/>
  <c r="I1132" i="47"/>
  <c r="D1132" i="47"/>
  <c r="B1189" i="47" s="1"/>
  <c r="H1129" i="47"/>
  <c r="H1127" i="47"/>
  <c r="H1124" i="47"/>
  <c r="F1187" i="47" s="1"/>
  <c r="H1121" i="47"/>
  <c r="H1119" i="47"/>
  <c r="H1116" i="47"/>
  <c r="H1113" i="47"/>
  <c r="H1111" i="47"/>
  <c r="H1108" i="47"/>
  <c r="F1183" i="47" s="1"/>
  <c r="H1105" i="47"/>
  <c r="H1102" i="47"/>
  <c r="H1099" i="47"/>
  <c r="H1097" i="47"/>
  <c r="H1094" i="47"/>
  <c r="H1091" i="47"/>
  <c r="F1178" i="47" s="1"/>
  <c r="H1087" i="47"/>
  <c r="H1085" i="47"/>
  <c r="H1082" i="47"/>
  <c r="H1079" i="47"/>
  <c r="E1149" i="47"/>
  <c r="C1194" i="47" s="1"/>
  <c r="I1149" i="47"/>
  <c r="G1194" i="47" s="1"/>
  <c r="D1144" i="47"/>
  <c r="H1144" i="47"/>
  <c r="D1138" i="47"/>
  <c r="H1138" i="47"/>
  <c r="F1191" i="47" s="1"/>
  <c r="E1129" i="47"/>
  <c r="I1129" i="47"/>
  <c r="E1127" i="47"/>
  <c r="I1127" i="47"/>
  <c r="E1124" i="47"/>
  <c r="I1124" i="47"/>
  <c r="E1121" i="47"/>
  <c r="I1121" i="47"/>
  <c r="E1119" i="47"/>
  <c r="I1119" i="47"/>
  <c r="E1116" i="47"/>
  <c r="I1116" i="47"/>
  <c r="E1113" i="47"/>
  <c r="I1113" i="47"/>
  <c r="E1111" i="47"/>
  <c r="I1111" i="47"/>
  <c r="E1108" i="47"/>
  <c r="C1183" i="47" s="1"/>
  <c r="I1108" i="47"/>
  <c r="E1105" i="47"/>
  <c r="I1105" i="47"/>
  <c r="E1102" i="47"/>
  <c r="I1102" i="47"/>
  <c r="E1099" i="47"/>
  <c r="I1099" i="47"/>
  <c r="E1097" i="47"/>
  <c r="I1097" i="47"/>
  <c r="E1094" i="47"/>
  <c r="I1094" i="47"/>
  <c r="E1091" i="47"/>
  <c r="C1178" i="47" s="1"/>
  <c r="I1091" i="47"/>
  <c r="G1178" i="47" s="1"/>
  <c r="E1087" i="47"/>
  <c r="I1087" i="47"/>
  <c r="E1085" i="47"/>
  <c r="I1085" i="47"/>
  <c r="E1082" i="47"/>
  <c r="I1082" i="47"/>
  <c r="B1175" i="47"/>
  <c r="E1079" i="47"/>
  <c r="I1079" i="47"/>
  <c r="E1077" i="47"/>
  <c r="I1077" i="47"/>
  <c r="E1074" i="47"/>
  <c r="I1074" i="47"/>
  <c r="B1173" i="47"/>
  <c r="E1071" i="47"/>
  <c r="I1071" i="47"/>
  <c r="E1069" i="47"/>
  <c r="I1069" i="47"/>
  <c r="E1066" i="47"/>
  <c r="I1066" i="47"/>
  <c r="B1171" i="47"/>
  <c r="E1063" i="47"/>
  <c r="I1063" i="47"/>
  <c r="E1061" i="47"/>
  <c r="I1061" i="47"/>
  <c r="B649" i="47"/>
  <c r="E1445" i="47"/>
  <c r="D1226" i="47"/>
  <c r="C1243" i="47" s="1"/>
  <c r="C1532" i="47" s="1"/>
  <c r="E1224" i="47"/>
  <c r="D1241" i="47" s="1"/>
  <c r="D1210" i="47"/>
  <c r="F1156" i="47"/>
  <c r="F1149" i="47"/>
  <c r="D1194" i="47" s="1"/>
  <c r="E1147" i="47"/>
  <c r="I1147" i="47"/>
  <c r="E1146" i="47"/>
  <c r="F1138" i="47"/>
  <c r="D1191" i="47" s="1"/>
  <c r="D1136" i="47"/>
  <c r="H1136" i="47"/>
  <c r="F1190" i="47" s="1"/>
  <c r="E1135" i="47"/>
  <c r="C1190" i="47" s="1"/>
  <c r="F1189" i="47"/>
  <c r="F1129" i="47"/>
  <c r="F1127" i="47"/>
  <c r="F1124" i="47"/>
  <c r="D1187" i="47" s="1"/>
  <c r="F1121" i="47"/>
  <c r="F1119" i="47"/>
  <c r="F1116" i="47"/>
  <c r="D1185" i="47" s="1"/>
  <c r="F1113" i="47"/>
  <c r="F1111" i="47"/>
  <c r="F1108" i="47"/>
  <c r="D1183" i="47" s="1"/>
  <c r="F1105" i="47"/>
  <c r="D1182" i="47" s="1"/>
  <c r="F1102" i="47"/>
  <c r="F1099" i="47"/>
  <c r="F1097" i="47"/>
  <c r="F1094" i="47"/>
  <c r="D1179" i="47" s="1"/>
  <c r="F1179" i="47"/>
  <c r="F1091" i="47"/>
  <c r="D1178" i="47" s="1"/>
  <c r="F1087" i="47"/>
  <c r="F1085" i="47"/>
  <c r="F1082" i="47"/>
  <c r="F1079" i="47"/>
  <c r="F1077" i="47"/>
  <c r="F1074" i="47"/>
  <c r="D1173" i="47" s="1"/>
  <c r="F1071" i="47"/>
  <c r="F1069" i="47"/>
  <c r="F1066" i="47"/>
  <c r="D1170" i="47"/>
  <c r="C867" i="47"/>
  <c r="B866" i="47"/>
  <c r="C863" i="47"/>
  <c r="L3334" i="47" s="1"/>
  <c r="C859" i="47"/>
  <c r="D859" i="47" s="1"/>
  <c r="B858" i="47"/>
  <c r="D858" i="47" s="1"/>
  <c r="C855" i="47"/>
  <c r="D855" i="47" s="1"/>
  <c r="B854" i="47"/>
  <c r="C851" i="47"/>
  <c r="L3322" i="47" s="1"/>
  <c r="C847" i="47"/>
  <c r="L3318" i="47" s="1"/>
  <c r="B846" i="47"/>
  <c r="D846" i="47" s="1"/>
  <c r="C843" i="47"/>
  <c r="D843" i="47" s="1"/>
  <c r="C647" i="47"/>
  <c r="B678" i="47" s="1"/>
  <c r="F519" i="47"/>
  <c r="F555" i="47" s="1"/>
  <c r="F591" i="47" s="1"/>
  <c r="D517" i="47"/>
  <c r="D553" i="47" s="1"/>
  <c r="D589" i="47" s="1"/>
  <c r="F513" i="47"/>
  <c r="F549" i="47" s="1"/>
  <c r="F585" i="47" s="1"/>
  <c r="F509" i="47"/>
  <c r="F545" i="47" s="1"/>
  <c r="F581" i="47" s="1"/>
  <c r="F66" i="38"/>
  <c r="E83" i="38"/>
  <c r="E82" i="38"/>
  <c r="E81" i="38"/>
  <c r="E80" i="38"/>
  <c r="E79" i="38"/>
  <c r="E78" i="38"/>
  <c r="E77" i="38"/>
  <c r="E76" i="38"/>
  <c r="E75" i="38"/>
  <c r="E74" i="38"/>
  <c r="E73" i="38"/>
  <c r="E72" i="38"/>
  <c r="E71" i="38"/>
  <c r="E70" i="38"/>
  <c r="E69" i="38"/>
  <c r="E68" i="38"/>
  <c r="F66" i="36"/>
  <c r="E83" i="36"/>
  <c r="E82" i="36"/>
  <c r="E81" i="36"/>
  <c r="E80" i="36"/>
  <c r="E79" i="36"/>
  <c r="E78" i="36"/>
  <c r="E77" i="36"/>
  <c r="E76" i="36"/>
  <c r="E75" i="36"/>
  <c r="E74" i="36"/>
  <c r="E73" i="36"/>
  <c r="E72" i="36"/>
  <c r="E71" i="36"/>
  <c r="E70" i="36"/>
  <c r="E69" i="36"/>
  <c r="E68" i="36"/>
  <c r="D501" i="47"/>
  <c r="D537" i="47" s="1"/>
  <c r="D573" i="47" s="1"/>
  <c r="D498" i="47"/>
  <c r="D534" i="47" s="1"/>
  <c r="D570" i="47" s="1"/>
  <c r="D502" i="47"/>
  <c r="D538" i="47" s="1"/>
  <c r="D574" i="47" s="1"/>
  <c r="D506" i="47"/>
  <c r="D542" i="47" s="1"/>
  <c r="D578" i="47" s="1"/>
  <c r="D510" i="47"/>
  <c r="D546" i="47" s="1"/>
  <c r="D582" i="47" s="1"/>
  <c r="D514" i="47"/>
  <c r="D550" i="47" s="1"/>
  <c r="D586" i="47" s="1"/>
  <c r="D518" i="47"/>
  <c r="D554" i="47" s="1"/>
  <c r="D590" i="47" s="1"/>
  <c r="D522" i="47"/>
  <c r="D558" i="47" s="1"/>
  <c r="D594" i="47" s="1"/>
  <c r="D500" i="47"/>
  <c r="D536" i="47" s="1"/>
  <c r="D572" i="47" s="1"/>
  <c r="D504" i="47"/>
  <c r="D540" i="47" s="1"/>
  <c r="D576" i="47" s="1"/>
  <c r="D508" i="47"/>
  <c r="D544" i="47" s="1"/>
  <c r="D580" i="47" s="1"/>
  <c r="D512" i="47"/>
  <c r="D548" i="47" s="1"/>
  <c r="D584" i="47" s="1"/>
  <c r="D516" i="47"/>
  <c r="D552" i="47" s="1"/>
  <c r="D588" i="47" s="1"/>
  <c r="D520" i="47"/>
  <c r="D556" i="47" s="1"/>
  <c r="D592" i="47" s="1"/>
  <c r="C861" i="47"/>
  <c r="C857" i="47"/>
  <c r="D857" i="47" s="1"/>
  <c r="B856" i="47"/>
  <c r="D856" i="47" s="1"/>
  <c r="C853" i="47"/>
  <c r="L3324" i="47" s="1"/>
  <c r="B848" i="47"/>
  <c r="C845" i="47"/>
  <c r="L3316" i="47" s="1"/>
  <c r="D83" i="37"/>
  <c r="D83" i="35"/>
  <c r="F499" i="47"/>
  <c r="F535" i="47" s="1"/>
  <c r="F571" i="47" s="1"/>
  <c r="F500" i="47"/>
  <c r="F536" i="47" s="1"/>
  <c r="F572" i="47" s="1"/>
  <c r="F504" i="47"/>
  <c r="F540" i="47" s="1"/>
  <c r="F576" i="47" s="1"/>
  <c r="F508" i="47"/>
  <c r="F544" i="47" s="1"/>
  <c r="F580" i="47" s="1"/>
  <c r="F512" i="47"/>
  <c r="F548" i="47" s="1"/>
  <c r="F584" i="47" s="1"/>
  <c r="F516" i="47"/>
  <c r="F552" i="47" s="1"/>
  <c r="F588" i="47" s="1"/>
  <c r="F520" i="47"/>
  <c r="F556" i="47" s="1"/>
  <c r="F592" i="47" s="1"/>
  <c r="F524" i="47"/>
  <c r="F560" i="47" s="1"/>
  <c r="F596" i="47" s="1"/>
  <c r="F498" i="47"/>
  <c r="F534" i="47" s="1"/>
  <c r="F570" i="47" s="1"/>
  <c r="F502" i="47"/>
  <c r="F538" i="47" s="1"/>
  <c r="F574" i="47" s="1"/>
  <c r="F506" i="47"/>
  <c r="F542" i="47" s="1"/>
  <c r="F578" i="47" s="1"/>
  <c r="F510" i="47"/>
  <c r="F546" i="47" s="1"/>
  <c r="F582" i="47" s="1"/>
  <c r="F514" i="47"/>
  <c r="F550" i="47" s="1"/>
  <c r="F586" i="47" s="1"/>
  <c r="F518" i="47"/>
  <c r="F554" i="47" s="1"/>
  <c r="F590" i="47" s="1"/>
  <c r="I571" i="47"/>
  <c r="G517" i="47"/>
  <c r="G553" i="47" s="1"/>
  <c r="G589" i="47" s="1"/>
  <c r="G513" i="47"/>
  <c r="G549" i="47" s="1"/>
  <c r="G585" i="47" s="1"/>
  <c r="E511" i="47"/>
  <c r="E547" i="47" s="1"/>
  <c r="E583" i="47" s="1"/>
  <c r="G509" i="47"/>
  <c r="G545" i="47" s="1"/>
  <c r="G581" i="47" s="1"/>
  <c r="E507" i="47"/>
  <c r="E543" i="47" s="1"/>
  <c r="E579" i="47" s="1"/>
  <c r="G505" i="47"/>
  <c r="G541" i="47" s="1"/>
  <c r="G577" i="47" s="1"/>
  <c r="E503" i="47"/>
  <c r="E539" i="47" s="1"/>
  <c r="E575" i="47" s="1"/>
  <c r="G501" i="47"/>
  <c r="G537" i="47" s="1"/>
  <c r="G573" i="47" s="1"/>
  <c r="E499" i="47"/>
  <c r="E535" i="47" s="1"/>
  <c r="E571" i="47" s="1"/>
  <c r="E66" i="34"/>
  <c r="D68" i="38"/>
  <c r="D69" i="38"/>
  <c r="D70" i="38"/>
  <c r="D71" i="38"/>
  <c r="D72" i="38"/>
  <c r="D73" i="38"/>
  <c r="D74" i="38"/>
  <c r="D75" i="38"/>
  <c r="D76" i="38"/>
  <c r="D77" i="38"/>
  <c r="D78" i="38"/>
  <c r="D79" i="38"/>
  <c r="D80" i="38"/>
  <c r="D81" i="38"/>
  <c r="D82" i="38"/>
  <c r="D83" i="38"/>
  <c r="E66" i="37"/>
  <c r="D68" i="36"/>
  <c r="D69" i="36"/>
  <c r="D70" i="36"/>
  <c r="D71" i="36"/>
  <c r="D72" i="36"/>
  <c r="D73" i="36"/>
  <c r="D74" i="36"/>
  <c r="D75" i="36"/>
  <c r="D76" i="36"/>
  <c r="D77" i="36"/>
  <c r="D78" i="36"/>
  <c r="D79" i="36"/>
  <c r="D80" i="36"/>
  <c r="D81" i="36"/>
  <c r="D82" i="36"/>
  <c r="D83" i="36"/>
  <c r="E66" i="35"/>
  <c r="I575" i="47"/>
  <c r="G523" i="47"/>
  <c r="G559" i="47" s="1"/>
  <c r="G595" i="47" s="1"/>
  <c r="E521" i="47"/>
  <c r="E557" i="47" s="1"/>
  <c r="E593" i="47" s="1"/>
  <c r="G519" i="47"/>
  <c r="G555" i="47" s="1"/>
  <c r="G591" i="47" s="1"/>
  <c r="E517" i="47"/>
  <c r="E553" i="47" s="1"/>
  <c r="E589" i="47" s="1"/>
  <c r="G515" i="47"/>
  <c r="G551" i="47" s="1"/>
  <c r="G587" i="47" s="1"/>
  <c r="E513" i="47"/>
  <c r="E549" i="47" s="1"/>
  <c r="E585" i="47" s="1"/>
  <c r="G511" i="47"/>
  <c r="G547" i="47" s="1"/>
  <c r="G583" i="47" s="1"/>
  <c r="E509" i="47"/>
  <c r="E545" i="47" s="1"/>
  <c r="E581" i="47" s="1"/>
  <c r="G507" i="47"/>
  <c r="G543" i="47" s="1"/>
  <c r="G579" i="47" s="1"/>
  <c r="E505" i="47"/>
  <c r="E541" i="47" s="1"/>
  <c r="E577" i="47" s="1"/>
  <c r="G503" i="47"/>
  <c r="G539" i="47" s="1"/>
  <c r="G575" i="47" s="1"/>
  <c r="G499" i="47"/>
  <c r="G535" i="47" s="1"/>
  <c r="G571" i="47" s="1"/>
  <c r="AA11" i="31"/>
  <c r="AB11" i="31"/>
  <c r="AA12" i="31"/>
  <c r="AB12" i="31"/>
  <c r="AA13" i="31"/>
  <c r="AB13" i="31"/>
  <c r="AA14" i="31"/>
  <c r="AB14" i="31"/>
  <c r="AA15" i="31"/>
  <c r="AB15" i="31"/>
  <c r="AA16" i="31"/>
  <c r="AB16" i="31"/>
  <c r="AA17" i="31"/>
  <c r="AB17" i="31"/>
  <c r="D68" i="34"/>
  <c r="D69" i="34"/>
  <c r="D70" i="34"/>
  <c r="D71" i="34"/>
  <c r="D72" i="34"/>
  <c r="D73" i="34"/>
  <c r="D74" i="34"/>
  <c r="D75" i="34"/>
  <c r="D76" i="34"/>
  <c r="D77" i="34"/>
  <c r="D78" i="34"/>
  <c r="D79" i="34"/>
  <c r="D80" i="34"/>
  <c r="D81" i="34"/>
  <c r="D82" i="34"/>
  <c r="D68" i="37"/>
  <c r="D69" i="37"/>
  <c r="D70" i="37"/>
  <c r="D71" i="37"/>
  <c r="D72" i="37"/>
  <c r="D73" i="37"/>
  <c r="D74" i="37"/>
  <c r="D75" i="37"/>
  <c r="D76" i="37"/>
  <c r="D77" i="37"/>
  <c r="D78" i="37"/>
  <c r="D79" i="37"/>
  <c r="D80" i="37"/>
  <c r="D81" i="37"/>
  <c r="D82" i="37"/>
  <c r="D68" i="35"/>
  <c r="D69" i="35"/>
  <c r="D70" i="35"/>
  <c r="D71" i="35"/>
  <c r="D72" i="35"/>
  <c r="D73" i="35"/>
  <c r="D74" i="35"/>
  <c r="D75" i="35"/>
  <c r="D76" i="35"/>
  <c r="D77" i="35"/>
  <c r="D78" i="35"/>
  <c r="D79" i="35"/>
  <c r="D80" i="35"/>
  <c r="D81" i="35"/>
  <c r="D82" i="35"/>
  <c r="C116" i="37"/>
  <c r="B119" i="37"/>
  <c r="C121" i="37"/>
  <c r="C123" i="37"/>
  <c r="C125" i="37"/>
  <c r="C127" i="37"/>
  <c r="C129" i="37"/>
  <c r="C131" i="37"/>
  <c r="C133" i="37"/>
  <c r="G502" i="47"/>
  <c r="G538" i="47" s="1"/>
  <c r="G574" i="47" s="1"/>
  <c r="B109" i="41"/>
  <c r="D143" i="35"/>
  <c r="E143" i="35"/>
  <c r="F143" i="35"/>
  <c r="C143" i="35"/>
  <c r="G143" i="35"/>
  <c r="C143" i="36"/>
  <c r="G143" i="36"/>
  <c r="E143" i="36"/>
  <c r="C143" i="37"/>
  <c r="G143" i="37"/>
  <c r="B143" i="36"/>
  <c r="D143" i="37"/>
  <c r="D143" i="36"/>
  <c r="B143" i="35"/>
  <c r="F143" i="36"/>
  <c r="B143" i="37"/>
  <c r="F143" i="37"/>
  <c r="B143" i="38"/>
  <c r="F143" i="38"/>
  <c r="C143" i="38"/>
  <c r="G143" i="38"/>
  <c r="E143" i="34"/>
  <c r="D143" i="38"/>
  <c r="C143" i="34"/>
  <c r="G143" i="34"/>
  <c r="D143" i="34"/>
  <c r="F143" i="34"/>
  <c r="B265" i="38"/>
  <c r="B265" i="37"/>
  <c r="B265" i="36"/>
  <c r="B265" i="35"/>
  <c r="B265" i="34"/>
  <c r="B266" i="37"/>
  <c r="B266" i="36"/>
  <c r="B266" i="35"/>
  <c r="B266" i="38"/>
  <c r="B266" i="34"/>
  <c r="B268" i="35"/>
  <c r="B268" i="34"/>
  <c r="B268" i="38"/>
  <c r="B268" i="37"/>
  <c r="B268" i="36"/>
  <c r="B270" i="37"/>
  <c r="B270" i="36"/>
  <c r="B270" i="35"/>
  <c r="B270" i="34"/>
  <c r="B272" i="35"/>
  <c r="B272" i="34"/>
  <c r="B272" i="38"/>
  <c r="B272" i="37"/>
  <c r="B272" i="36"/>
  <c r="C270" i="38"/>
  <c r="C270" i="37"/>
  <c r="C270" i="36"/>
  <c r="C270" i="34"/>
  <c r="C270" i="35"/>
  <c r="C266" i="38"/>
  <c r="C266" i="37"/>
  <c r="C266" i="36"/>
  <c r="C266" i="35"/>
  <c r="C266" i="34"/>
  <c r="B270" i="38"/>
  <c r="D266" i="35"/>
  <c r="D266" i="34"/>
  <c r="D266" i="38"/>
  <c r="D266" i="37"/>
  <c r="D268" i="37"/>
  <c r="D268" i="36"/>
  <c r="D268" i="35"/>
  <c r="D270" i="35"/>
  <c r="D270" i="34"/>
  <c r="D270" i="38"/>
  <c r="D270" i="37"/>
  <c r="D272" i="37"/>
  <c r="D272" i="36"/>
  <c r="D272" i="35"/>
  <c r="C273" i="35"/>
  <c r="C273" i="34"/>
  <c r="C273" i="38"/>
  <c r="C273" i="37"/>
  <c r="C269" i="35"/>
  <c r="C269" i="34"/>
  <c r="C269" i="38"/>
  <c r="C269" i="37"/>
  <c r="C265" i="35"/>
  <c r="C265" i="34"/>
  <c r="C265" i="38"/>
  <c r="C265" i="37"/>
  <c r="D268" i="34"/>
  <c r="C265" i="36"/>
  <c r="D268" i="38"/>
  <c r="D273" i="34"/>
  <c r="C272" i="34"/>
  <c r="B271" i="34"/>
  <c r="D269" i="34"/>
  <c r="C268" i="34"/>
  <c r="B267" i="34"/>
  <c r="D265" i="34"/>
  <c r="B273" i="37"/>
  <c r="D271" i="37"/>
  <c r="B269" i="37"/>
  <c r="D267" i="37"/>
  <c r="C271" i="36"/>
  <c r="C267" i="36"/>
  <c r="D273" i="35"/>
  <c r="C272" i="35"/>
  <c r="B271" i="35"/>
  <c r="D269" i="35"/>
  <c r="C268" i="35"/>
  <c r="B267" i="35"/>
  <c r="D265" i="35"/>
  <c r="F1173" i="47" l="1"/>
  <c r="F1171" i="47"/>
  <c r="F1195" i="47"/>
  <c r="H55" i="46"/>
  <c r="I44" i="45"/>
  <c r="H60" i="46"/>
  <c r="I63" i="45"/>
  <c r="H20" i="45"/>
  <c r="G66" i="46"/>
  <c r="I48" i="45"/>
  <c r="H71" i="46"/>
  <c r="H78" i="46"/>
  <c r="I24" i="45"/>
  <c r="G83" i="46"/>
  <c r="H50" i="45"/>
  <c r="G100" i="46"/>
  <c r="H30" i="45"/>
  <c r="M105" i="46"/>
  <c r="E54" i="45"/>
  <c r="G110" i="46"/>
  <c r="H75" i="45"/>
  <c r="H34" i="45"/>
  <c r="G116" i="46"/>
  <c r="G137" i="46"/>
  <c r="H40" i="45"/>
  <c r="F1175" i="47"/>
  <c r="G1191" i="47"/>
  <c r="H16" i="45"/>
  <c r="G50" i="46"/>
  <c r="M55" i="46"/>
  <c r="E44" i="45"/>
  <c r="G60" i="46"/>
  <c r="H63" i="45"/>
  <c r="N66" i="46"/>
  <c r="F20" i="45"/>
  <c r="G71" i="46"/>
  <c r="H48" i="45"/>
  <c r="H24" i="45"/>
  <c r="G78" i="46"/>
  <c r="G129" i="46"/>
  <c r="H80" i="45"/>
  <c r="H66" i="46"/>
  <c r="I20" i="45"/>
  <c r="F36" i="45"/>
  <c r="N123" i="46"/>
  <c r="N50" i="46"/>
  <c r="F16" i="45"/>
  <c r="G55" i="46"/>
  <c r="H44" i="45"/>
  <c r="N60" i="46"/>
  <c r="F63" i="45"/>
  <c r="E20" i="45"/>
  <c r="M66" i="46"/>
  <c r="N71" i="46"/>
  <c r="F48" i="45"/>
  <c r="E30" i="45"/>
  <c r="M100" i="46"/>
  <c r="H54" i="45"/>
  <c r="G105" i="46"/>
  <c r="M110" i="46"/>
  <c r="E75" i="45"/>
  <c r="M116" i="46"/>
  <c r="E34" i="45"/>
  <c r="M123" i="46"/>
  <c r="E36" i="45"/>
  <c r="G141" i="46"/>
  <c r="H84" i="45"/>
  <c r="C1182" i="47"/>
  <c r="B1191" i="47"/>
  <c r="N100" i="46"/>
  <c r="F30" i="45"/>
  <c r="G1070" i="47"/>
  <c r="E4188" i="47"/>
  <c r="H83" i="46"/>
  <c r="I50" i="45"/>
  <c r="H100" i="46"/>
  <c r="I30" i="45"/>
  <c r="N105" i="46"/>
  <c r="F54" i="45"/>
  <c r="H110" i="46"/>
  <c r="I75" i="45"/>
  <c r="H116" i="46"/>
  <c r="I34" i="45"/>
  <c r="G123" i="46"/>
  <c r="H36" i="45"/>
  <c r="M137" i="46"/>
  <c r="E40" i="45"/>
  <c r="B1323" i="47"/>
  <c r="E2331" i="47" s="1"/>
  <c r="E2348" i="47" s="1"/>
  <c r="B1185" i="47"/>
  <c r="G1182" i="47"/>
  <c r="F1170" i="47"/>
  <c r="D841" i="47"/>
  <c r="G1174" i="47"/>
  <c r="C1176" i="47"/>
  <c r="C1180" i="47"/>
  <c r="B1176" i="47"/>
  <c r="B1180" i="47"/>
  <c r="B1186" i="47"/>
  <c r="F1185" i="47"/>
  <c r="F1181" i="47"/>
  <c r="H2312" i="47" s="1"/>
  <c r="H2352" i="47" s="1"/>
  <c r="C1189" i="47"/>
  <c r="B1335" i="47" s="1"/>
  <c r="F1193" i="47"/>
  <c r="D1171" i="47"/>
  <c r="D1175" i="47"/>
  <c r="F1192" i="47"/>
  <c r="F1174" i="47"/>
  <c r="B1179" i="47"/>
  <c r="G1190" i="47"/>
  <c r="D1192" i="47"/>
  <c r="D1181" i="47"/>
  <c r="B1192" i="47"/>
  <c r="F1182" i="47"/>
  <c r="H2313" i="47" s="1"/>
  <c r="H2353" i="47" s="1"/>
  <c r="F1188" i="47"/>
  <c r="F1196" i="47"/>
  <c r="D1195" i="47"/>
  <c r="G1112" i="47"/>
  <c r="E1184" i="47" s="1"/>
  <c r="E4230" i="47"/>
  <c r="G1120" i="47"/>
  <c r="E1186" i="47" s="1"/>
  <c r="E4238" i="47"/>
  <c r="G1123" i="47"/>
  <c r="E4241" i="47"/>
  <c r="G1180" i="47"/>
  <c r="C1184" i="47"/>
  <c r="G1188" i="47"/>
  <c r="D1460" i="47"/>
  <c r="D1473" i="47" s="1"/>
  <c r="D1582" i="47" s="1"/>
  <c r="C1954" i="47"/>
  <c r="E1954" i="47" s="1"/>
  <c r="AB1460" i="47"/>
  <c r="AB1485" i="47" s="1"/>
  <c r="AB1757" i="47" s="1"/>
  <c r="C1960" i="47"/>
  <c r="X1460" i="47"/>
  <c r="C1959" i="47"/>
  <c r="E1959" i="47" s="1"/>
  <c r="C1174" i="47"/>
  <c r="G1183" i="47"/>
  <c r="G1128" i="47"/>
  <c r="E1188" i="47" s="1"/>
  <c r="E4246" i="47"/>
  <c r="AI1460" i="47"/>
  <c r="AI1487" i="47" s="1"/>
  <c r="AI1759" i="47" s="1"/>
  <c r="B1962" i="47"/>
  <c r="G1083" i="47"/>
  <c r="E4201" i="47"/>
  <c r="F1184" i="47"/>
  <c r="G1117" i="47"/>
  <c r="E1185" i="47" s="1"/>
  <c r="E4235" i="47"/>
  <c r="S1460" i="47"/>
  <c r="S1473" i="47" s="1"/>
  <c r="S1582" i="47" s="1"/>
  <c r="B1958" i="47"/>
  <c r="G30" i="45"/>
  <c r="F100" i="46"/>
  <c r="G1081" i="47"/>
  <c r="E4199" i="47"/>
  <c r="G1125" i="47"/>
  <c r="E1187" i="47" s="1"/>
  <c r="E4243" i="47"/>
  <c r="AA1460" i="47"/>
  <c r="AA1476" i="47" s="1"/>
  <c r="AA1583" i="47" s="1"/>
  <c r="B1960" i="47"/>
  <c r="C1170" i="47"/>
  <c r="G1176" i="47"/>
  <c r="G1184" i="47"/>
  <c r="C1186" i="47"/>
  <c r="AJ1460" i="47"/>
  <c r="AJ1487" i="47" s="1"/>
  <c r="AJ1759" i="47" s="1"/>
  <c r="C1962" i="47"/>
  <c r="E1962" i="47" s="1"/>
  <c r="D863" i="47"/>
  <c r="D853" i="47"/>
  <c r="D1193" i="47"/>
  <c r="G1195" i="47"/>
  <c r="Q1460" i="47"/>
  <c r="D1957" i="47"/>
  <c r="D1975" i="47" s="1"/>
  <c r="Q1988" i="47" s="1"/>
  <c r="L3332" i="47"/>
  <c r="D861" i="47"/>
  <c r="D1184" i="47"/>
  <c r="D1186" i="47"/>
  <c r="D1188" i="47"/>
  <c r="G1071" i="47"/>
  <c r="E4189" i="47"/>
  <c r="AF1460" i="47"/>
  <c r="AF1487" i="47" s="1"/>
  <c r="AF1759" i="47" s="1"/>
  <c r="C1961" i="47"/>
  <c r="E1961" i="47" s="1"/>
  <c r="D845" i="47"/>
  <c r="L3338" i="47"/>
  <c r="D867" i="47"/>
  <c r="G1192" i="47"/>
  <c r="P1460" i="47"/>
  <c r="P1487" i="47" s="1"/>
  <c r="P1759" i="47" s="1"/>
  <c r="C1957" i="47"/>
  <c r="E1957" i="47" s="1"/>
  <c r="F1957" i="47" s="1"/>
  <c r="AE1460" i="47"/>
  <c r="AE1473" i="47" s="1"/>
  <c r="AE1582" i="47" s="1"/>
  <c r="B1961" i="47"/>
  <c r="D1180" i="47"/>
  <c r="D847" i="47"/>
  <c r="G1069" i="47"/>
  <c r="E4187" i="47"/>
  <c r="T1460" i="47"/>
  <c r="T1487" i="47" s="1"/>
  <c r="T1759" i="47" s="1"/>
  <c r="C1958" i="47"/>
  <c r="E1958" i="47" s="1"/>
  <c r="D851" i="47"/>
  <c r="C1195" i="47"/>
  <c r="W1460" i="47"/>
  <c r="W1487" i="47" s="1"/>
  <c r="W1759" i="47" s="1"/>
  <c r="B1959" i="47"/>
  <c r="O1460" i="47"/>
  <c r="O1487" i="47" s="1"/>
  <c r="O1759" i="47" s="1"/>
  <c r="B1957" i="47"/>
  <c r="AG1460" i="47"/>
  <c r="D1961" i="47"/>
  <c r="D1979" i="47" s="1"/>
  <c r="AG1988" i="47" s="1"/>
  <c r="E143" i="38"/>
  <c r="G46" i="28"/>
  <c r="G47" i="28" s="1"/>
  <c r="B325" i="35" s="1"/>
  <c r="E143" i="37"/>
  <c r="J20" i="32"/>
  <c r="J51" i="28"/>
  <c r="J49" i="28"/>
  <c r="G49" i="28"/>
  <c r="G51" i="28"/>
  <c r="F51" i="28"/>
  <c r="F49" i="28"/>
  <c r="I51" i="28"/>
  <c r="I49" i="28"/>
  <c r="H49" i="28"/>
  <c r="H51" i="28"/>
  <c r="C77" i="37"/>
  <c r="AJ16" i="31"/>
  <c r="C77" i="38" s="1"/>
  <c r="C75" i="37"/>
  <c r="AJ14" i="31"/>
  <c r="C75" i="38" s="1"/>
  <c r="C73" i="37"/>
  <c r="AJ12" i="31"/>
  <c r="C73" i="38" s="1"/>
  <c r="F66" i="34"/>
  <c r="E83" i="34"/>
  <c r="E82" i="34"/>
  <c r="E81" i="34"/>
  <c r="E80" i="34"/>
  <c r="E79" i="34"/>
  <c r="E78" i="34"/>
  <c r="E77" i="34"/>
  <c r="E76" i="34"/>
  <c r="E75" i="34"/>
  <c r="E74" i="34"/>
  <c r="E73" i="34"/>
  <c r="E72" i="34"/>
  <c r="E71" i="34"/>
  <c r="E70" i="34"/>
  <c r="E69" i="34"/>
  <c r="E68" i="34"/>
  <c r="E90" i="34"/>
  <c r="D854" i="47"/>
  <c r="K3325" i="47"/>
  <c r="C1193" i="47"/>
  <c r="D1230" i="47"/>
  <c r="C1247" i="47" s="1"/>
  <c r="B664" i="47"/>
  <c r="B650" i="47"/>
  <c r="G1172" i="47"/>
  <c r="H3953" i="47"/>
  <c r="C1173" i="47"/>
  <c r="B1319" i="47" s="1"/>
  <c r="D1378" i="47"/>
  <c r="E2177" i="47"/>
  <c r="I2177" i="47"/>
  <c r="I2331" i="47"/>
  <c r="I2348" i="47" s="1"/>
  <c r="C2177" i="47"/>
  <c r="H2177" i="47"/>
  <c r="D2177" i="47"/>
  <c r="J2177" i="47"/>
  <c r="B2331" i="47"/>
  <c r="B2348" i="47" s="1"/>
  <c r="F2177" i="47"/>
  <c r="C2331" i="47"/>
  <c r="C2348" i="47" s="1"/>
  <c r="H2331" i="47"/>
  <c r="H2348" i="47" s="1"/>
  <c r="G2177" i="47"/>
  <c r="D2331" i="47"/>
  <c r="D2348" i="47" s="1"/>
  <c r="J2331" i="47"/>
  <c r="J2348" i="47" s="1"/>
  <c r="C1181" i="47"/>
  <c r="B1328" i="47"/>
  <c r="C1187" i="47"/>
  <c r="B1333" i="47" s="1"/>
  <c r="B1188" i="47"/>
  <c r="G1189" i="47"/>
  <c r="M1460" i="47"/>
  <c r="D1956" i="47"/>
  <c r="D1974" i="47" s="1"/>
  <c r="M1988" i="47" s="1"/>
  <c r="C83" i="36"/>
  <c r="AB22" i="31"/>
  <c r="C81" i="36"/>
  <c r="AB20" i="31"/>
  <c r="C79" i="36"/>
  <c r="AB18" i="31"/>
  <c r="C70" i="36"/>
  <c r="AB9" i="31"/>
  <c r="C68" i="36"/>
  <c r="AB7" i="31"/>
  <c r="E95" i="35"/>
  <c r="E98" i="35"/>
  <c r="E97" i="35"/>
  <c r="F93" i="35"/>
  <c r="E96" i="35"/>
  <c r="AI16" i="31"/>
  <c r="B77" i="38" s="1"/>
  <c r="B77" i="37"/>
  <c r="AI14" i="31"/>
  <c r="B75" i="38" s="1"/>
  <c r="B75" i="37"/>
  <c r="AI12" i="31"/>
  <c r="B73" i="38" s="1"/>
  <c r="B73" i="37"/>
  <c r="D848" i="47"/>
  <c r="K3319" i="47"/>
  <c r="F83" i="36"/>
  <c r="F82" i="36"/>
  <c r="F81" i="36"/>
  <c r="F80" i="36"/>
  <c r="F79" i="36"/>
  <c r="F78" i="36"/>
  <c r="F77" i="36"/>
  <c r="F76" i="36"/>
  <c r="F75" i="36"/>
  <c r="F74" i="36"/>
  <c r="F73" i="36"/>
  <c r="F72" i="36"/>
  <c r="F71" i="36"/>
  <c r="F70" i="36"/>
  <c r="F69" i="36"/>
  <c r="F68" i="36"/>
  <c r="G66" i="36"/>
  <c r="F90" i="36"/>
  <c r="D866" i="47"/>
  <c r="K3337" i="47"/>
  <c r="E2312" i="47"/>
  <c r="E2352" i="47" s="1"/>
  <c r="C2312" i="47"/>
  <c r="C2352" i="47" s="1"/>
  <c r="D2312" i="47"/>
  <c r="D2352" i="47" s="1"/>
  <c r="J2312" i="47"/>
  <c r="J2352" i="47" s="1"/>
  <c r="G2312" i="47"/>
  <c r="G2352" i="47" s="1"/>
  <c r="AB1473" i="47"/>
  <c r="AB1582" i="47" s="1"/>
  <c r="X1486" i="47"/>
  <c r="X1758" i="47" s="1"/>
  <c r="D1225" i="47"/>
  <c r="C1242" i="47" s="1"/>
  <c r="C1513" i="47" s="1"/>
  <c r="D1229" i="47"/>
  <c r="C1246" i="47" s="1"/>
  <c r="X1473" i="47"/>
  <c r="X1582" i="47" s="1"/>
  <c r="X1485" i="47"/>
  <c r="X1757" i="47" s="1"/>
  <c r="T1486" i="47"/>
  <c r="T1758" i="47" s="1"/>
  <c r="D1224" i="47"/>
  <c r="C1241" i="47" s="1"/>
  <c r="D1228" i="47"/>
  <c r="C1245" i="47" s="1"/>
  <c r="C1514" i="47" s="1"/>
  <c r="T1473" i="47"/>
  <c r="T1582" i="47" s="1"/>
  <c r="X1476" i="47"/>
  <c r="X1583" i="47" s="1"/>
  <c r="AJ1485" i="47"/>
  <c r="AJ1757" i="47" s="1"/>
  <c r="D1269" i="47"/>
  <c r="C1282" i="47" s="1"/>
  <c r="D1270" i="47"/>
  <c r="C1283" i="47" s="1"/>
  <c r="D1271" i="47"/>
  <c r="C1284" i="47" s="1"/>
  <c r="D1272" i="47"/>
  <c r="C1285" i="47" s="1"/>
  <c r="D1273" i="47"/>
  <c r="C1286" i="47" s="1"/>
  <c r="T1476" i="47"/>
  <c r="T1583" i="47" s="1"/>
  <c r="X1487" i="47"/>
  <c r="X1759" i="47" s="1"/>
  <c r="E1960" i="47"/>
  <c r="I1460" i="47"/>
  <c r="D1955" i="47"/>
  <c r="D1973" i="47" s="1"/>
  <c r="I1988" i="47" s="1"/>
  <c r="G1170" i="47"/>
  <c r="C1172" i="47"/>
  <c r="G1186" i="47"/>
  <c r="C1188" i="47"/>
  <c r="B1338" i="47"/>
  <c r="D2313" i="47"/>
  <c r="D2353" i="47" s="1"/>
  <c r="J2313" i="47"/>
  <c r="J2353" i="47" s="1"/>
  <c r="F2313" i="47"/>
  <c r="F2353" i="47" s="1"/>
  <c r="G2313" i="47"/>
  <c r="G2353" i="47" s="1"/>
  <c r="I2313" i="47"/>
  <c r="I2353" i="47" s="1"/>
  <c r="G1171" i="47"/>
  <c r="B1324" i="47"/>
  <c r="C1191" i="47"/>
  <c r="G1193" i="47"/>
  <c r="D1196" i="47"/>
  <c r="B1342" i="47" s="1"/>
  <c r="D1231" i="47"/>
  <c r="C1248" i="47" s="1"/>
  <c r="B83" i="36"/>
  <c r="AA22" i="31"/>
  <c r="B81" i="36"/>
  <c r="AA20" i="31"/>
  <c r="B79" i="36"/>
  <c r="AA18" i="31"/>
  <c r="B70" i="36"/>
  <c r="AA9" i="31"/>
  <c r="F98" i="34"/>
  <c r="F97" i="34"/>
  <c r="F96" i="34"/>
  <c r="F95" i="34"/>
  <c r="E93" i="37"/>
  <c r="D98" i="37"/>
  <c r="D97" i="37"/>
  <c r="D96" i="37"/>
  <c r="D95" i="37"/>
  <c r="F97" i="36"/>
  <c r="F96" i="36"/>
  <c r="F95" i="36"/>
  <c r="F98" i="36"/>
  <c r="B144" i="35"/>
  <c r="F144" i="35"/>
  <c r="C144" i="35"/>
  <c r="G144" i="35"/>
  <c r="D144" i="35"/>
  <c r="E144" i="36"/>
  <c r="E144" i="35"/>
  <c r="C144" i="36"/>
  <c r="G144" i="36"/>
  <c r="B144" i="36"/>
  <c r="E144" i="37"/>
  <c r="D144" i="36"/>
  <c r="B144" i="37"/>
  <c r="F144" i="37"/>
  <c r="F144" i="36"/>
  <c r="D144" i="37"/>
  <c r="C144" i="37"/>
  <c r="D144" i="38"/>
  <c r="G144" i="37"/>
  <c r="E144" i="38"/>
  <c r="B144" i="38"/>
  <c r="C144" i="34"/>
  <c r="G144" i="34"/>
  <c r="C144" i="38"/>
  <c r="F144" i="38"/>
  <c r="E144" i="34"/>
  <c r="G144" i="38"/>
  <c r="B144" i="34"/>
  <c r="F144" i="34"/>
  <c r="B110" i="41"/>
  <c r="D144" i="34"/>
  <c r="C78" i="37"/>
  <c r="AJ17" i="31"/>
  <c r="C78" i="38" s="1"/>
  <c r="C76" i="37"/>
  <c r="AJ15" i="31"/>
  <c r="C76" i="38" s="1"/>
  <c r="C74" i="37"/>
  <c r="AJ13" i="31"/>
  <c r="C74" i="38" s="1"/>
  <c r="C72" i="37"/>
  <c r="AJ11" i="31"/>
  <c r="C72" i="38" s="1"/>
  <c r="F66" i="35"/>
  <c r="E83" i="35"/>
  <c r="E82" i="35"/>
  <c r="E81" i="35"/>
  <c r="E80" i="35"/>
  <c r="E79" i="35"/>
  <c r="E78" i="35"/>
  <c r="E77" i="35"/>
  <c r="E76" i="35"/>
  <c r="E75" i="35"/>
  <c r="E74" i="35"/>
  <c r="E73" i="35"/>
  <c r="E72" i="35"/>
  <c r="E71" i="35"/>
  <c r="E70" i="35"/>
  <c r="E69" i="35"/>
  <c r="E68" i="35"/>
  <c r="E90" i="35"/>
  <c r="F83" i="38"/>
  <c r="F82" i="38"/>
  <c r="F81" i="38"/>
  <c r="F80" i="38"/>
  <c r="F79" i="38"/>
  <c r="F78" i="38"/>
  <c r="F77" i="38"/>
  <c r="F76" i="38"/>
  <c r="F75" i="38"/>
  <c r="F74" i="38"/>
  <c r="F73" i="38"/>
  <c r="F72" i="38"/>
  <c r="F71" i="38"/>
  <c r="F70" i="38"/>
  <c r="F69" i="38"/>
  <c r="F68" i="38"/>
  <c r="G66" i="38"/>
  <c r="F90" i="38"/>
  <c r="D1172" i="47"/>
  <c r="D1174" i="47"/>
  <c r="D1176" i="47"/>
  <c r="F1176" i="47"/>
  <c r="F1180" i="47"/>
  <c r="C2314" i="47"/>
  <c r="C2354" i="47" s="1"/>
  <c r="G2314" i="47"/>
  <c r="G2354" i="47" s="1"/>
  <c r="F2314" i="47"/>
  <c r="F2354" i="47" s="1"/>
  <c r="B2314" i="47"/>
  <c r="B2354" i="47" s="1"/>
  <c r="H2314" i="47"/>
  <c r="H2354" i="47" s="1"/>
  <c r="D2314" i="47"/>
  <c r="D2354" i="47" s="1"/>
  <c r="I2314" i="47"/>
  <c r="I2354" i="47" s="1"/>
  <c r="E2314" i="47"/>
  <c r="E2354" i="47" s="1"/>
  <c r="J2314" i="47"/>
  <c r="J2354" i="47" s="1"/>
  <c r="F1186" i="47"/>
  <c r="L1460" i="47"/>
  <c r="L1485" i="47" s="1"/>
  <c r="L1757" i="47" s="1"/>
  <c r="C1956" i="47"/>
  <c r="E1956" i="47" s="1"/>
  <c r="F1956" i="47" s="1"/>
  <c r="C1171" i="47"/>
  <c r="G1175" i="47"/>
  <c r="G1179" i="47"/>
  <c r="B1184" i="47"/>
  <c r="G1185" i="47"/>
  <c r="B1340" i="47"/>
  <c r="C1225" i="47"/>
  <c r="B1242" i="47" s="1"/>
  <c r="B1513" i="47" s="1"/>
  <c r="C1229" i="47"/>
  <c r="B1246" i="47" s="1"/>
  <c r="G1473" i="47"/>
  <c r="G1582" i="47" s="1"/>
  <c r="W1473" i="47"/>
  <c r="W1582" i="47" s="1"/>
  <c r="K1476" i="47"/>
  <c r="K1583" i="47" s="1"/>
  <c r="G1485" i="47"/>
  <c r="G1757" i="47" s="1"/>
  <c r="W1485" i="47"/>
  <c r="W1757" i="47" s="1"/>
  <c r="AE1487" i="47"/>
  <c r="AE1759" i="47" s="1"/>
  <c r="C1224" i="47"/>
  <c r="B1241" i="47" s="1"/>
  <c r="C1228" i="47"/>
  <c r="B1245" i="47" s="1"/>
  <c r="B1514" i="47" s="1"/>
  <c r="G1476" i="47"/>
  <c r="G1583" i="47" s="1"/>
  <c r="AI1485" i="47"/>
  <c r="AI1757" i="47" s="1"/>
  <c r="AE1486" i="47"/>
  <c r="AE1758" i="47" s="1"/>
  <c r="K1487" i="47"/>
  <c r="K1759" i="47" s="1"/>
  <c r="C1269" i="47"/>
  <c r="B1282" i="47" s="1"/>
  <c r="C1270" i="47"/>
  <c r="B1283" i="47" s="1"/>
  <c r="C1271" i="47"/>
  <c r="B1284" i="47" s="1"/>
  <c r="C1272" i="47"/>
  <c r="B1285" i="47" s="1"/>
  <c r="B1378" i="47" s="1"/>
  <c r="E1378" i="47" s="1"/>
  <c r="B1422" i="47" s="1"/>
  <c r="C1422" i="47" s="1"/>
  <c r="C1273" i="47"/>
  <c r="B1286" i="47" s="1"/>
  <c r="O1473" i="47"/>
  <c r="O1582" i="47" s="1"/>
  <c r="K1486" i="47"/>
  <c r="K1758" i="47" s="1"/>
  <c r="G1487" i="47"/>
  <c r="G1759" i="47" s="1"/>
  <c r="K1473" i="47"/>
  <c r="K1582" i="47" s="1"/>
  <c r="AE1476" i="47"/>
  <c r="AE1583" i="47" s="1"/>
  <c r="K1485" i="47"/>
  <c r="K1757" i="47" s="1"/>
  <c r="G1486" i="47"/>
  <c r="G1758" i="47" s="1"/>
  <c r="D1227" i="47"/>
  <c r="C1244" i="47" s="1"/>
  <c r="C1460" i="47"/>
  <c r="B1954" i="47"/>
  <c r="C3032" i="47"/>
  <c r="B1316" i="47"/>
  <c r="C82" i="36"/>
  <c r="AB21" i="31"/>
  <c r="C80" i="36"/>
  <c r="AB19" i="31"/>
  <c r="C71" i="36"/>
  <c r="AB10" i="31"/>
  <c r="C69" i="36"/>
  <c r="AB8" i="31"/>
  <c r="AI17" i="31"/>
  <c r="B78" i="38" s="1"/>
  <c r="B78" i="37"/>
  <c r="AI15" i="31"/>
  <c r="B76" i="38" s="1"/>
  <c r="B76" i="37"/>
  <c r="AI13" i="31"/>
  <c r="B74" i="38" s="1"/>
  <c r="B74" i="37"/>
  <c r="AI11" i="31"/>
  <c r="B72" i="38" s="1"/>
  <c r="B72" i="37"/>
  <c r="F66" i="37"/>
  <c r="E83" i="37"/>
  <c r="E82" i="37"/>
  <c r="E81" i="37"/>
  <c r="E80" i="37"/>
  <c r="E79" i="37"/>
  <c r="E78" i="37"/>
  <c r="E77" i="37"/>
  <c r="E76" i="37"/>
  <c r="E75" i="37"/>
  <c r="E74" i="37"/>
  <c r="E73" i="37"/>
  <c r="E72" i="37"/>
  <c r="E71" i="37"/>
  <c r="E70" i="37"/>
  <c r="E69" i="37"/>
  <c r="E68" i="37"/>
  <c r="E90" i="37"/>
  <c r="D647" i="47"/>
  <c r="C648" i="47"/>
  <c r="B679" i="47" s="1"/>
  <c r="H3948" i="47"/>
  <c r="B1327" i="47"/>
  <c r="G1173" i="47"/>
  <c r="C1175" i="47"/>
  <c r="C1179" i="47"/>
  <c r="B1325" i="47" s="1"/>
  <c r="G1181" i="47"/>
  <c r="B1329" i="47"/>
  <c r="C1185" i="47"/>
  <c r="B1331" i="47" s="1"/>
  <c r="G1187" i="47"/>
  <c r="B1190" i="47"/>
  <c r="B1336" i="47" s="1"/>
  <c r="D1223" i="47"/>
  <c r="C1240" i="47" s="1"/>
  <c r="C1531" i="47" s="1"/>
  <c r="H1460" i="47"/>
  <c r="C1955" i="47"/>
  <c r="E1955" i="47" s="1"/>
  <c r="F1955" i="47" s="1"/>
  <c r="C3029" i="47"/>
  <c r="C3031" i="47"/>
  <c r="B82" i="36"/>
  <c r="AA21" i="31"/>
  <c r="B80" i="36"/>
  <c r="AA19" i="31"/>
  <c r="B71" i="36"/>
  <c r="AA10" i="31"/>
  <c r="B69" i="36"/>
  <c r="AA8" i="31"/>
  <c r="F93" i="38"/>
  <c r="E96" i="38"/>
  <c r="E95" i="38"/>
  <c r="E98" i="38"/>
  <c r="E97" i="38"/>
  <c r="AA1486" i="47" l="1"/>
  <c r="AA1758" i="47" s="1"/>
  <c r="S1487" i="47"/>
  <c r="S1759" i="47" s="1"/>
  <c r="AA1473" i="47"/>
  <c r="AA1582" i="47" s="1"/>
  <c r="S1476" i="47"/>
  <c r="S1583" i="47" s="1"/>
  <c r="H3951" i="47"/>
  <c r="F1959" i="47"/>
  <c r="S1486" i="47"/>
  <c r="S1758" i="47" s="1"/>
  <c r="B1322" i="47"/>
  <c r="AA1485" i="47"/>
  <c r="AA1757" i="47" s="1"/>
  <c r="O1485" i="47"/>
  <c r="O1757" i="47" s="1"/>
  <c r="AA1487" i="47"/>
  <c r="AA1759" i="47" s="1"/>
  <c r="AI1486" i="47"/>
  <c r="AI1758" i="47" s="1"/>
  <c r="H3950" i="47"/>
  <c r="C2313" i="47"/>
  <c r="C2353" i="47" s="1"/>
  <c r="E2313" i="47"/>
  <c r="E2353" i="47" s="1"/>
  <c r="AJ1473" i="47"/>
  <c r="AJ1582" i="47" s="1"/>
  <c r="F2312" i="47"/>
  <c r="F2352" i="47" s="1"/>
  <c r="I2312" i="47"/>
  <c r="I2352" i="47" s="1"/>
  <c r="B3034" i="47"/>
  <c r="B2177" i="47"/>
  <c r="G2331" i="47"/>
  <c r="G2348" i="47" s="1"/>
  <c r="F2331" i="47"/>
  <c r="F2348" i="47" s="1"/>
  <c r="F55" i="46"/>
  <c r="G44" i="45"/>
  <c r="C1378" i="47"/>
  <c r="B1332" i="47"/>
  <c r="B1318" i="47"/>
  <c r="B1326" i="47"/>
  <c r="B1654" i="47" s="1"/>
  <c r="F1960" i="47"/>
  <c r="AF1485" i="47"/>
  <c r="AF1757" i="47" s="1"/>
  <c r="AF1473" i="47"/>
  <c r="AF1582" i="47" s="1"/>
  <c r="AF1486" i="47"/>
  <c r="AF1758" i="47" s="1"/>
  <c r="AF1476" i="47"/>
  <c r="AF1583" i="47" s="1"/>
  <c r="O1476" i="47"/>
  <c r="O1583" i="47" s="1"/>
  <c r="AI1476" i="47"/>
  <c r="AI1583" i="47" s="1"/>
  <c r="O1486" i="47"/>
  <c r="O1758" i="47" s="1"/>
  <c r="AI1473" i="47"/>
  <c r="AI1582" i="47" s="1"/>
  <c r="B1317" i="47"/>
  <c r="B1375" i="47" s="1"/>
  <c r="B1320" i="47"/>
  <c r="D1376" i="47" s="1"/>
  <c r="D1550" i="47" s="1"/>
  <c r="H3952" i="47"/>
  <c r="P1485" i="47"/>
  <c r="P1757" i="47" s="1"/>
  <c r="P1473" i="47"/>
  <c r="P1582" i="47" s="1"/>
  <c r="P1486" i="47"/>
  <c r="P1758" i="47" s="1"/>
  <c r="AB1476" i="47"/>
  <c r="AB1583" i="47" s="1"/>
  <c r="H1593" i="47" s="1"/>
  <c r="D1487" i="47"/>
  <c r="D1759" i="47" s="1"/>
  <c r="P1476" i="47"/>
  <c r="P1583" i="47" s="1"/>
  <c r="H3954" i="47"/>
  <c r="B1339" i="47"/>
  <c r="E2193" i="47" s="1"/>
  <c r="E2230" i="47" s="1"/>
  <c r="AE1485" i="47"/>
  <c r="AE1757" i="47" s="1"/>
  <c r="W1476" i="47"/>
  <c r="W1583" i="47" s="1"/>
  <c r="G1593" i="47" s="1"/>
  <c r="AB1486" i="47"/>
  <c r="AB1758" i="47" s="1"/>
  <c r="D1476" i="47"/>
  <c r="D1583" i="47" s="1"/>
  <c r="AB1487" i="47"/>
  <c r="AB1759" i="47" s="1"/>
  <c r="T1485" i="47"/>
  <c r="T1757" i="47" s="1"/>
  <c r="D1486" i="47"/>
  <c r="D1758" i="47" s="1"/>
  <c r="F1958" i="47"/>
  <c r="G1958" i="47" s="1"/>
  <c r="B1976" i="47" s="1"/>
  <c r="S1988" i="47" s="1"/>
  <c r="W1486" i="47"/>
  <c r="W1758" i="47" s="1"/>
  <c r="S1485" i="47"/>
  <c r="S1757" i="47" s="1"/>
  <c r="F1819" i="47" s="1"/>
  <c r="F2097" i="47" s="1"/>
  <c r="B2313" i="47"/>
  <c r="B2353" i="47" s="1"/>
  <c r="D1485" i="47"/>
  <c r="D1757" i="47" s="1"/>
  <c r="B2312" i="47"/>
  <c r="B2352" i="47" s="1"/>
  <c r="E1175" i="47"/>
  <c r="I2189" i="47"/>
  <c r="I2226" i="47" s="1"/>
  <c r="H2189" i="47"/>
  <c r="H2226" i="47" s="1"/>
  <c r="B2189" i="47"/>
  <c r="B2226" i="47" s="1"/>
  <c r="D2189" i="47"/>
  <c r="D2226" i="47" s="1"/>
  <c r="G2189" i="47"/>
  <c r="G2226" i="47" s="1"/>
  <c r="J2189" i="47"/>
  <c r="J2226" i="47" s="1"/>
  <c r="E2189" i="47"/>
  <c r="E2226" i="47" s="1"/>
  <c r="C2189" i="47"/>
  <c r="C2226" i="47" s="1"/>
  <c r="F2189" i="47"/>
  <c r="F2226" i="47" s="1"/>
  <c r="E1172" i="47"/>
  <c r="G54" i="45"/>
  <c r="F105" i="46"/>
  <c r="G52" i="45"/>
  <c r="F97" i="46"/>
  <c r="F1962" i="47"/>
  <c r="AJ1476" i="47"/>
  <c r="AJ1583" i="47" s="1"/>
  <c r="AJ1486" i="47"/>
  <c r="AJ1758" i="47" s="1"/>
  <c r="G32" i="45"/>
  <c r="F108" i="46"/>
  <c r="G65" i="45"/>
  <c r="F68" i="46"/>
  <c r="F113" i="46"/>
  <c r="G56" i="45"/>
  <c r="F110" i="46"/>
  <c r="G75" i="45"/>
  <c r="F102" i="46"/>
  <c r="G73" i="45"/>
  <c r="F66" i="46"/>
  <c r="G20" i="45"/>
  <c r="C1473" i="47"/>
  <c r="C1582" i="47" s="1"/>
  <c r="B1592" i="47" s="1"/>
  <c r="C1486" i="47"/>
  <c r="C1758" i="47" s="1"/>
  <c r="C1485" i="47"/>
  <c r="C1757" i="47" s="1"/>
  <c r="C1487" i="47"/>
  <c r="C1759" i="47" s="1"/>
  <c r="C1476" i="47"/>
  <c r="C1583" i="47" s="1"/>
  <c r="B1593" i="47" s="1"/>
  <c r="H1485" i="47"/>
  <c r="H1757" i="47" s="1"/>
  <c r="H1476" i="47"/>
  <c r="H1583" i="47" s="1"/>
  <c r="H1487" i="47"/>
  <c r="H1759" i="47" s="1"/>
  <c r="H1473" i="47"/>
  <c r="H1582" i="47" s="1"/>
  <c r="H1486" i="47"/>
  <c r="H1758" i="47" s="1"/>
  <c r="E1478" i="47"/>
  <c r="E1750" i="47" s="1"/>
  <c r="Y1478" i="47"/>
  <c r="Y1750" i="47" s="1"/>
  <c r="M1478" i="47"/>
  <c r="M1750" i="47" s="1"/>
  <c r="AK1478" i="47"/>
  <c r="AK1750" i="47" s="1"/>
  <c r="I1478" i="47"/>
  <c r="I1750" i="47" s="1"/>
  <c r="U1478" i="47"/>
  <c r="U1750" i="47" s="1"/>
  <c r="AC1478" i="47"/>
  <c r="AC1750" i="47" s="1"/>
  <c r="AG1478" i="47"/>
  <c r="AG1750" i="47" s="1"/>
  <c r="Q1478" i="47"/>
  <c r="Q1750" i="47" s="1"/>
  <c r="H1478" i="47"/>
  <c r="H1750" i="47" s="1"/>
  <c r="D1478" i="47"/>
  <c r="D1750" i="47" s="1"/>
  <c r="L1478" i="47"/>
  <c r="L1750" i="47" s="1"/>
  <c r="C1478" i="47"/>
  <c r="C1750" i="47" s="1"/>
  <c r="O1478" i="47"/>
  <c r="O1750" i="47" s="1"/>
  <c r="W1478" i="47"/>
  <c r="W1750" i="47" s="1"/>
  <c r="X1478" i="47"/>
  <c r="X1750" i="47" s="1"/>
  <c r="T1478" i="47"/>
  <c r="T1750" i="47" s="1"/>
  <c r="P1478" i="47"/>
  <c r="P1750" i="47" s="1"/>
  <c r="AB1478" i="47"/>
  <c r="AB1750" i="47" s="1"/>
  <c r="S1478" i="47"/>
  <c r="S1750" i="47" s="1"/>
  <c r="AE1478" i="47"/>
  <c r="AE1750" i="47" s="1"/>
  <c r="AJ1478" i="47"/>
  <c r="AJ1750" i="47" s="1"/>
  <c r="AF1478" i="47"/>
  <c r="AF1750" i="47" s="1"/>
  <c r="AI1478" i="47"/>
  <c r="AI1750" i="47" s="1"/>
  <c r="K1478" i="47"/>
  <c r="K1750" i="47" s="1"/>
  <c r="AA1478" i="47"/>
  <c r="AA1750" i="47" s="1"/>
  <c r="G1478" i="47"/>
  <c r="G1750" i="47" s="1"/>
  <c r="F54" i="46"/>
  <c r="G17" i="45"/>
  <c r="F1961" i="47"/>
  <c r="I1485" i="47"/>
  <c r="I1757" i="47" s="1"/>
  <c r="C1782" i="47" s="1"/>
  <c r="C2058" i="47" s="1"/>
  <c r="I1487" i="47"/>
  <c r="I1759" i="47" s="1"/>
  <c r="I1473" i="47"/>
  <c r="I1582" i="47" s="1"/>
  <c r="I1486" i="47"/>
  <c r="I1758" i="47" s="1"/>
  <c r="I1476" i="47"/>
  <c r="I1583" i="47" s="1"/>
  <c r="C1593" i="47" s="1"/>
  <c r="F1954" i="47"/>
  <c r="L1486" i="47"/>
  <c r="L1758" i="47" s="1"/>
  <c r="M1486" i="47"/>
  <c r="M1758" i="47" s="1"/>
  <c r="M1485" i="47"/>
  <c r="M1757" i="47" s="1"/>
  <c r="D1782" i="47" s="1"/>
  <c r="D2058" i="47" s="1"/>
  <c r="M1476" i="47"/>
  <c r="M1583" i="47" s="1"/>
  <c r="M1487" i="47"/>
  <c r="M1759" i="47" s="1"/>
  <c r="M1473" i="47"/>
  <c r="M1582" i="47" s="1"/>
  <c r="F56" i="46"/>
  <c r="G62" i="45"/>
  <c r="B1341" i="47"/>
  <c r="L1487" i="47"/>
  <c r="L1759" i="47" s="1"/>
  <c r="D1784" i="47" s="1"/>
  <c r="D2060" i="47" s="1"/>
  <c r="L1473" i="47"/>
  <c r="L1582" i="47" s="1"/>
  <c r="Q1473" i="47"/>
  <c r="Q1582" i="47" s="1"/>
  <c r="Q1476" i="47"/>
  <c r="Q1583" i="47" s="1"/>
  <c r="Q1485" i="47"/>
  <c r="Q1757" i="47" s="1"/>
  <c r="Q1487" i="47"/>
  <c r="Q1759" i="47" s="1"/>
  <c r="E1805" i="47" s="1"/>
  <c r="E2082" i="47" s="1"/>
  <c r="Q1486" i="47"/>
  <c r="Q1758" i="47" s="1"/>
  <c r="L1476" i="47"/>
  <c r="L1583" i="47" s="1"/>
  <c r="D1593" i="47" s="1"/>
  <c r="AG1487" i="47"/>
  <c r="AG1759" i="47" s="1"/>
  <c r="AG1485" i="47"/>
  <c r="AG1757" i="47" s="1"/>
  <c r="I1782" i="47" s="1"/>
  <c r="I2058" i="47" s="1"/>
  <c r="AG1476" i="47"/>
  <c r="AG1583" i="47" s="1"/>
  <c r="AG1473" i="47"/>
  <c r="AG1582" i="47" s="1"/>
  <c r="AG1486" i="47"/>
  <c r="AG1758" i="47" s="1"/>
  <c r="D1398" i="47"/>
  <c r="D1662" i="47" s="1"/>
  <c r="B1398" i="47"/>
  <c r="C1398" i="47"/>
  <c r="C1662" i="47" s="1"/>
  <c r="B1653" i="47"/>
  <c r="C2179" i="47"/>
  <c r="G2179" i="47"/>
  <c r="C2333" i="47"/>
  <c r="C2350" i="47" s="1"/>
  <c r="G2333" i="47"/>
  <c r="G2350" i="47" s="1"/>
  <c r="F2179" i="47"/>
  <c r="D2333" i="47"/>
  <c r="D2350" i="47" s="1"/>
  <c r="I2333" i="47"/>
  <c r="I2350" i="47" s="1"/>
  <c r="B2179" i="47"/>
  <c r="H2179" i="47"/>
  <c r="E2333" i="47"/>
  <c r="E2350" i="47" s="1"/>
  <c r="J2333" i="47"/>
  <c r="J2350" i="47" s="1"/>
  <c r="D2179" i="47"/>
  <c r="I2179" i="47"/>
  <c r="F2333" i="47"/>
  <c r="F2350" i="47" s="1"/>
  <c r="E2179" i="47"/>
  <c r="J2179" i="47"/>
  <c r="B2333" i="47"/>
  <c r="B2350" i="47" s="1"/>
  <c r="H2333" i="47"/>
  <c r="H2350" i="47" s="1"/>
  <c r="B3036" i="47"/>
  <c r="C1375" i="47"/>
  <c r="C1549" i="47" s="1"/>
  <c r="J2327" i="47"/>
  <c r="J2344" i="47" s="1"/>
  <c r="F2171" i="47"/>
  <c r="H2171" i="47"/>
  <c r="B1376" i="47"/>
  <c r="C2329" i="47"/>
  <c r="C2346" i="47" s="1"/>
  <c r="H2329" i="47"/>
  <c r="H2346" i="47" s="1"/>
  <c r="E2329" i="47"/>
  <c r="E2346" i="47" s="1"/>
  <c r="B3032" i="47"/>
  <c r="B2196" i="47"/>
  <c r="F2196" i="47"/>
  <c r="J2196" i="47"/>
  <c r="C2196" i="47"/>
  <c r="H2196" i="47"/>
  <c r="D2196" i="47"/>
  <c r="I2196" i="47"/>
  <c r="E2196" i="47"/>
  <c r="G2196" i="47"/>
  <c r="C1888" i="47"/>
  <c r="D1924" i="47"/>
  <c r="D1888" i="47"/>
  <c r="B1888" i="47"/>
  <c r="E1888" i="47" s="1"/>
  <c r="B1924" i="47" s="1"/>
  <c r="C1924" i="47" s="1"/>
  <c r="E2185" i="47"/>
  <c r="I2185" i="47"/>
  <c r="F2185" i="47"/>
  <c r="B2185" i="47"/>
  <c r="G2185" i="47"/>
  <c r="B2490" i="47"/>
  <c r="C2185" i="47"/>
  <c r="H2185" i="47"/>
  <c r="D2185" i="47"/>
  <c r="J2185" i="47"/>
  <c r="D1358" i="47"/>
  <c r="C1358" i="47"/>
  <c r="B1541" i="47"/>
  <c r="B1358" i="47"/>
  <c r="E1358" i="47" s="1"/>
  <c r="B1418" i="47" s="1"/>
  <c r="C1418" i="47" s="1"/>
  <c r="E2173" i="47"/>
  <c r="I2173" i="47"/>
  <c r="D2328" i="47"/>
  <c r="D2345" i="47" s="1"/>
  <c r="H2328" i="47"/>
  <c r="H2345" i="47" s="1"/>
  <c r="B2173" i="47"/>
  <c r="G2173" i="47"/>
  <c r="F2328" i="47"/>
  <c r="F2345" i="47" s="1"/>
  <c r="C2173" i="47"/>
  <c r="H2173" i="47"/>
  <c r="B2328" i="47"/>
  <c r="B2345" i="47" s="1"/>
  <c r="G2328" i="47"/>
  <c r="G2345" i="47" s="1"/>
  <c r="D2173" i="47"/>
  <c r="J2173" i="47"/>
  <c r="C2328" i="47"/>
  <c r="C2345" i="47" s="1"/>
  <c r="I2328" i="47"/>
  <c r="I2345" i="47" s="1"/>
  <c r="F2173" i="47"/>
  <c r="E2328" i="47"/>
  <c r="E2345" i="47" s="1"/>
  <c r="J2328" i="47"/>
  <c r="J2345" i="47" s="1"/>
  <c r="B3031" i="47"/>
  <c r="F95" i="38"/>
  <c r="F98" i="38"/>
  <c r="F97" i="38"/>
  <c r="F96" i="38"/>
  <c r="C1399" i="47"/>
  <c r="C1663" i="47" s="1"/>
  <c r="J2180" i="47"/>
  <c r="C2180" i="47"/>
  <c r="I2180" i="47"/>
  <c r="H2334" i="47"/>
  <c r="H2351" i="47" s="1"/>
  <c r="B3037" i="47"/>
  <c r="D1400" i="47"/>
  <c r="C1400" i="47"/>
  <c r="B1400" i="47"/>
  <c r="E1400" i="47" s="1"/>
  <c r="B1426" i="47" s="1"/>
  <c r="C1426" i="47" s="1"/>
  <c r="E2181" i="47"/>
  <c r="I2181" i="47"/>
  <c r="D2181" i="47"/>
  <c r="J2181" i="47"/>
  <c r="F2181" i="47"/>
  <c r="B2181" i="47"/>
  <c r="G2181" i="47"/>
  <c r="C2181" i="47"/>
  <c r="H2181" i="47"/>
  <c r="B69" i="37"/>
  <c r="AI8" i="31"/>
  <c r="B69" i="38" s="1"/>
  <c r="C3046" i="47"/>
  <c r="D3046" i="47"/>
  <c r="B3046" i="47"/>
  <c r="E3046" i="47"/>
  <c r="D1402" i="47"/>
  <c r="B1402" i="47"/>
  <c r="E1402" i="47" s="1"/>
  <c r="B1428" i="47" s="1"/>
  <c r="C1428" i="47" s="1"/>
  <c r="C1402" i="47"/>
  <c r="C2183" i="47"/>
  <c r="G2183" i="47"/>
  <c r="B2183" i="47"/>
  <c r="H2183" i="47"/>
  <c r="D2183" i="47"/>
  <c r="I2183" i="47"/>
  <c r="E2183" i="47"/>
  <c r="J2183" i="47"/>
  <c r="F2183" i="47"/>
  <c r="D1357" i="47"/>
  <c r="B1357" i="47"/>
  <c r="E1357" i="47" s="1"/>
  <c r="B1415" i="47" s="1"/>
  <c r="C1415" i="47" s="1"/>
  <c r="B1540" i="47"/>
  <c r="C1357" i="47"/>
  <c r="D2170" i="47"/>
  <c r="H2170" i="47"/>
  <c r="B2326" i="47"/>
  <c r="B2343" i="47" s="1"/>
  <c r="F2326" i="47"/>
  <c r="F2343" i="47" s="1"/>
  <c r="J2326" i="47"/>
  <c r="J2343" i="47" s="1"/>
  <c r="B2170" i="47"/>
  <c r="G2170" i="47"/>
  <c r="C2326" i="47"/>
  <c r="C2343" i="47" s="1"/>
  <c r="H2326" i="47"/>
  <c r="H2343" i="47" s="1"/>
  <c r="C2170" i="47"/>
  <c r="I2170" i="47"/>
  <c r="D2326" i="47"/>
  <c r="D2343" i="47" s="1"/>
  <c r="I2326" i="47"/>
  <c r="I2343" i="47" s="1"/>
  <c r="E2170" i="47"/>
  <c r="J2170" i="47"/>
  <c r="E2326" i="47"/>
  <c r="E2343" i="47" s="1"/>
  <c r="F2170" i="47"/>
  <c r="G2326" i="47"/>
  <c r="G2343" i="47" s="1"/>
  <c r="B3029" i="47"/>
  <c r="H1819" i="47"/>
  <c r="H2097" i="47" s="1"/>
  <c r="H1782" i="47"/>
  <c r="H2058" i="47" s="1"/>
  <c r="H1803" i="47"/>
  <c r="H2080" i="47" s="1"/>
  <c r="C1889" i="47"/>
  <c r="D1889" i="47"/>
  <c r="B1889" i="47"/>
  <c r="E1889" i="47" s="1"/>
  <c r="B1925" i="47" s="1"/>
  <c r="D1925" i="47"/>
  <c r="D2186" i="47"/>
  <c r="H2186" i="47"/>
  <c r="B2186" i="47"/>
  <c r="G2186" i="47"/>
  <c r="C2186" i="47"/>
  <c r="I2186" i="47"/>
  <c r="E2186" i="47"/>
  <c r="J2186" i="47"/>
  <c r="B2491" i="47"/>
  <c r="F2186" i="47"/>
  <c r="C1925" i="47"/>
  <c r="H2193" i="47"/>
  <c r="H2230" i="47" s="1"/>
  <c r="B2193" i="47"/>
  <c r="B2230" i="47" s="1"/>
  <c r="B1321" i="47"/>
  <c r="C71" i="37"/>
  <c r="AJ10" i="31"/>
  <c r="C71" i="38" s="1"/>
  <c r="C82" i="37"/>
  <c r="AJ21" i="31"/>
  <c r="C82" i="38" s="1"/>
  <c r="B1784" i="47"/>
  <c r="B2060" i="47" s="1"/>
  <c r="B1821" i="47"/>
  <c r="B2099" i="47" s="1"/>
  <c r="G1805" i="47"/>
  <c r="G2082" i="47" s="1"/>
  <c r="G1784" i="47"/>
  <c r="G2060" i="47" s="1"/>
  <c r="G1821" i="47"/>
  <c r="G2099" i="47" s="1"/>
  <c r="H1796" i="47"/>
  <c r="H2072" i="47" s="1"/>
  <c r="J1593" i="47"/>
  <c r="I1804" i="47"/>
  <c r="I2081" i="47" s="1"/>
  <c r="F1783" i="47"/>
  <c r="F2059" i="47" s="1"/>
  <c r="F1804" i="47"/>
  <c r="F2081" i="47" s="1"/>
  <c r="F1820" i="47"/>
  <c r="F2098" i="47" s="1"/>
  <c r="B1337" i="47"/>
  <c r="B70" i="37"/>
  <c r="AI9" i="31"/>
  <c r="B70" i="38" s="1"/>
  <c r="B81" i="37"/>
  <c r="AI20" i="31"/>
  <c r="B81" i="38" s="1"/>
  <c r="C1890" i="47"/>
  <c r="D1890" i="47"/>
  <c r="D1926" i="47"/>
  <c r="B1890" i="47"/>
  <c r="E1890" i="47" s="1"/>
  <c r="B1926" i="47" s="1"/>
  <c r="C1926" i="47" s="1"/>
  <c r="C2187" i="47"/>
  <c r="G2187" i="47"/>
  <c r="D2187" i="47"/>
  <c r="I2187" i="47"/>
  <c r="E2187" i="47"/>
  <c r="J2187" i="47"/>
  <c r="F2187" i="47"/>
  <c r="B2187" i="47"/>
  <c r="H2187" i="47"/>
  <c r="B2492" i="47"/>
  <c r="G1962" i="47"/>
  <c r="B1980" i="47" s="1"/>
  <c r="AI1988" i="47" s="1"/>
  <c r="C1980" i="47"/>
  <c r="AJ1988" i="47" s="1"/>
  <c r="H66" i="36"/>
  <c r="G83" i="36"/>
  <c r="G82" i="36"/>
  <c r="G81" i="36"/>
  <c r="G80" i="36"/>
  <c r="G79" i="36"/>
  <c r="G78" i="36"/>
  <c r="G77" i="36"/>
  <c r="G76" i="36"/>
  <c r="G75" i="36"/>
  <c r="G74" i="36"/>
  <c r="G73" i="36"/>
  <c r="G72" i="36"/>
  <c r="G71" i="36"/>
  <c r="G70" i="36"/>
  <c r="G69" i="36"/>
  <c r="G68" i="36"/>
  <c r="G90" i="36"/>
  <c r="B651" i="47"/>
  <c r="B665" i="47"/>
  <c r="B82" i="37"/>
  <c r="AI21" i="31"/>
  <c r="B82" i="38" s="1"/>
  <c r="G1957" i="47"/>
  <c r="B1975" i="47" s="1"/>
  <c r="O1988" i="47" s="1"/>
  <c r="C1975" i="47"/>
  <c r="P1988" i="47" s="1"/>
  <c r="C1973" i="47"/>
  <c r="H1988" i="47" s="1"/>
  <c r="G1955" i="47"/>
  <c r="B1973" i="47" s="1"/>
  <c r="G1988" i="47" s="1"/>
  <c r="D2190" i="47"/>
  <c r="D2227" i="47" s="1"/>
  <c r="H2190" i="47"/>
  <c r="H2227" i="47" s="1"/>
  <c r="C2190" i="47"/>
  <c r="C2227" i="47" s="1"/>
  <c r="I2190" i="47"/>
  <c r="I2227" i="47" s="1"/>
  <c r="E2190" i="47"/>
  <c r="E2227" i="47" s="1"/>
  <c r="J2190" i="47"/>
  <c r="J2227" i="47" s="1"/>
  <c r="F2190" i="47"/>
  <c r="F2227" i="47" s="1"/>
  <c r="B2190" i="47"/>
  <c r="B2227" i="47" s="1"/>
  <c r="G2190" i="47"/>
  <c r="G2227" i="47" s="1"/>
  <c r="D1377" i="47"/>
  <c r="B1377" i="47"/>
  <c r="E1377" i="47" s="1"/>
  <c r="B1421" i="47" s="1"/>
  <c r="C1421" i="47" s="1"/>
  <c r="C1377" i="47"/>
  <c r="B2176" i="47"/>
  <c r="F2176" i="47"/>
  <c r="J2176" i="47"/>
  <c r="B2330" i="47"/>
  <c r="B2347" i="47" s="1"/>
  <c r="F2330" i="47"/>
  <c r="F2347" i="47" s="1"/>
  <c r="J2330" i="47"/>
  <c r="J2347" i="47" s="1"/>
  <c r="G2176" i="47"/>
  <c r="D2330" i="47"/>
  <c r="D2347" i="47" s="1"/>
  <c r="I2330" i="47"/>
  <c r="I2347" i="47" s="1"/>
  <c r="C2176" i="47"/>
  <c r="H2176" i="47"/>
  <c r="E2330" i="47"/>
  <c r="E2347" i="47" s="1"/>
  <c r="D2176" i="47"/>
  <c r="I2176" i="47"/>
  <c r="G2330" i="47"/>
  <c r="G2347" i="47" s="1"/>
  <c r="E2176" i="47"/>
  <c r="C2330" i="47"/>
  <c r="C2347" i="47" s="1"/>
  <c r="H2330" i="47"/>
  <c r="H2347" i="47" s="1"/>
  <c r="B3033" i="47"/>
  <c r="C649" i="47"/>
  <c r="B680" i="47" s="1"/>
  <c r="D648" i="47"/>
  <c r="G1783" i="47"/>
  <c r="G2059" i="47" s="1"/>
  <c r="G1804" i="47"/>
  <c r="G2081" i="47" s="1"/>
  <c r="G1820" i="47"/>
  <c r="G2098" i="47" s="1"/>
  <c r="C1805" i="47"/>
  <c r="C2082" i="47" s="1"/>
  <c r="C1784" i="47"/>
  <c r="C2060" i="47" s="1"/>
  <c r="C1821" i="47"/>
  <c r="C2099" i="47" s="1"/>
  <c r="E1803" i="47"/>
  <c r="E2080" i="47" s="1"/>
  <c r="E1782" i="47"/>
  <c r="E2058" i="47" s="1"/>
  <c r="E1819" i="47"/>
  <c r="E2097" i="47" s="1"/>
  <c r="F1593" i="47"/>
  <c r="E1820" i="47"/>
  <c r="E2098" i="47" s="1"/>
  <c r="I1784" i="47"/>
  <c r="I2060" i="47" s="1"/>
  <c r="I1805" i="47"/>
  <c r="I2082" i="47" s="1"/>
  <c r="I1821" i="47"/>
  <c r="I2099" i="47" s="1"/>
  <c r="B1783" i="47"/>
  <c r="B2059" i="47" s="1"/>
  <c r="B1804" i="47"/>
  <c r="B2081" i="47" s="1"/>
  <c r="B1820" i="47"/>
  <c r="B2098" i="47" s="1"/>
  <c r="J1775" i="47"/>
  <c r="J2046" i="47" s="1"/>
  <c r="J1796" i="47"/>
  <c r="J2072" i="47" s="1"/>
  <c r="G1592" i="47"/>
  <c r="D2194" i="47"/>
  <c r="H2194" i="47"/>
  <c r="E2194" i="47"/>
  <c r="J2194" i="47"/>
  <c r="F2194" i="47"/>
  <c r="B2194" i="47"/>
  <c r="G2194" i="47"/>
  <c r="C2194" i="47"/>
  <c r="I2194" i="47"/>
  <c r="D145" i="35"/>
  <c r="E145" i="35"/>
  <c r="B145" i="35"/>
  <c r="G145" i="35"/>
  <c r="C145" i="35"/>
  <c r="C145" i="36"/>
  <c r="G145" i="36"/>
  <c r="F145" i="35"/>
  <c r="E145" i="36"/>
  <c r="D145" i="36"/>
  <c r="C145" i="37"/>
  <c r="G145" i="37"/>
  <c r="F145" i="36"/>
  <c r="D145" i="37"/>
  <c r="B145" i="36"/>
  <c r="B145" i="37"/>
  <c r="F145" i="37"/>
  <c r="E145" i="37"/>
  <c r="B145" i="38"/>
  <c r="F145" i="38"/>
  <c r="C145" i="38"/>
  <c r="G145" i="38"/>
  <c r="D145" i="38"/>
  <c r="E145" i="34"/>
  <c r="E145" i="38"/>
  <c r="C145" i="34"/>
  <c r="G145" i="34"/>
  <c r="D145" i="34"/>
  <c r="B111" i="41"/>
  <c r="B145" i="34"/>
  <c r="F145" i="34"/>
  <c r="B2192" i="47"/>
  <c r="F2192" i="47"/>
  <c r="J2192" i="47"/>
  <c r="G2192" i="47"/>
  <c r="C2192" i="47"/>
  <c r="H2192" i="47"/>
  <c r="D2192" i="47"/>
  <c r="I2192" i="47"/>
  <c r="E2192" i="47"/>
  <c r="G1960" i="47"/>
  <c r="B1978" i="47" s="1"/>
  <c r="AA1988" i="47" s="1"/>
  <c r="C1978" i="47"/>
  <c r="AB1988" i="47" s="1"/>
  <c r="C70" i="37"/>
  <c r="AJ9" i="31"/>
  <c r="C70" i="38" s="1"/>
  <c r="C81" i="37"/>
  <c r="AJ20" i="31"/>
  <c r="C81" i="38" s="1"/>
  <c r="H3955" i="47"/>
  <c r="G1959" i="47"/>
  <c r="B1977" i="47" s="1"/>
  <c r="W1988" i="47" s="1"/>
  <c r="C1977" i="47"/>
  <c r="X1988" i="47" s="1"/>
  <c r="G66" i="37"/>
  <c r="F83" i="37"/>
  <c r="F82" i="37"/>
  <c r="F81" i="37"/>
  <c r="F80" i="37"/>
  <c r="F79" i="37"/>
  <c r="F78" i="37"/>
  <c r="F77" i="37"/>
  <c r="F76" i="37"/>
  <c r="F75" i="37"/>
  <c r="F74" i="37"/>
  <c r="F73" i="37"/>
  <c r="F72" i="37"/>
  <c r="F71" i="37"/>
  <c r="F70" i="37"/>
  <c r="F69" i="37"/>
  <c r="F68" i="37"/>
  <c r="F90" i="37"/>
  <c r="C69" i="37"/>
  <c r="AJ8" i="31"/>
  <c r="C69" i="38" s="1"/>
  <c r="C80" i="37"/>
  <c r="AJ19" i="31"/>
  <c r="C80" i="38" s="1"/>
  <c r="B1504" i="47"/>
  <c r="B2172" i="47"/>
  <c r="F2172" i="47"/>
  <c r="J2172" i="47"/>
  <c r="E2172" i="47"/>
  <c r="G2172" i="47"/>
  <c r="C2172" i="47"/>
  <c r="H2172" i="47"/>
  <c r="D2172" i="47"/>
  <c r="I2172" i="47"/>
  <c r="J1784" i="47"/>
  <c r="J2060" i="47" s="1"/>
  <c r="J1805" i="47"/>
  <c r="J2082" i="47" s="1"/>
  <c r="J1821" i="47"/>
  <c r="J2099" i="47" s="1"/>
  <c r="C1783" i="47"/>
  <c r="C2059" i="47" s="1"/>
  <c r="C1804" i="47"/>
  <c r="C2081" i="47" s="1"/>
  <c r="C1820" i="47"/>
  <c r="C2098" i="47" s="1"/>
  <c r="H1804" i="47"/>
  <c r="H2081" i="47" s="1"/>
  <c r="H1783" i="47"/>
  <c r="H2059" i="47" s="1"/>
  <c r="H1820" i="47"/>
  <c r="H2098" i="47" s="1"/>
  <c r="H1784" i="47"/>
  <c r="H2060" i="47" s="1"/>
  <c r="H1805" i="47"/>
  <c r="H2082" i="47" s="1"/>
  <c r="H1821" i="47"/>
  <c r="H2099" i="47" s="1"/>
  <c r="J1782" i="47"/>
  <c r="J2058" i="47" s="1"/>
  <c r="J1803" i="47"/>
  <c r="J2080" i="47" s="1"/>
  <c r="J1819" i="47"/>
  <c r="J2097" i="47" s="1"/>
  <c r="F1592" i="47"/>
  <c r="E1784" i="47"/>
  <c r="E2060" i="47" s="1"/>
  <c r="G1819" i="47"/>
  <c r="G2097" i="47" s="1"/>
  <c r="G1782" i="47"/>
  <c r="G2058" i="47" s="1"/>
  <c r="G1803" i="47"/>
  <c r="G2080" i="47" s="1"/>
  <c r="B79" i="37"/>
  <c r="AI18" i="31"/>
  <c r="B79" i="38" s="1"/>
  <c r="B83" i="37"/>
  <c r="AI22" i="31"/>
  <c r="B83" i="38" s="1"/>
  <c r="H3949" i="47"/>
  <c r="F98" i="35"/>
  <c r="F97" i="35"/>
  <c r="F96" i="35"/>
  <c r="F95" i="35"/>
  <c r="D1401" i="47"/>
  <c r="B1401" i="47"/>
  <c r="E1401" i="47" s="1"/>
  <c r="B1427" i="47" s="1"/>
  <c r="C1427" i="47" s="1"/>
  <c r="C1401" i="47"/>
  <c r="D2182" i="47"/>
  <c r="H2182" i="47"/>
  <c r="F2182" i="47"/>
  <c r="B2182" i="47"/>
  <c r="G2182" i="47"/>
  <c r="C2182" i="47"/>
  <c r="I2182" i="47"/>
  <c r="E2182" i="47"/>
  <c r="J2182" i="47"/>
  <c r="B71" i="37"/>
  <c r="AI10" i="31"/>
  <c r="B71" i="38" s="1"/>
  <c r="B80" i="37"/>
  <c r="AI19" i="31"/>
  <c r="B80" i="38" s="1"/>
  <c r="F1821" i="47"/>
  <c r="F2099" i="47" s="1"/>
  <c r="F1784" i="47"/>
  <c r="F2060" i="47" s="1"/>
  <c r="F1805" i="47"/>
  <c r="F2082" i="47" s="1"/>
  <c r="G1775" i="47"/>
  <c r="G2046" i="47" s="1"/>
  <c r="F1803" i="47"/>
  <c r="F2080" i="47" s="1"/>
  <c r="I1593" i="47"/>
  <c r="J1820" i="47"/>
  <c r="J2098" i="47" s="1"/>
  <c r="J1783" i="47"/>
  <c r="J2059" i="47" s="1"/>
  <c r="C1819" i="47"/>
  <c r="C2097" i="47" s="1"/>
  <c r="H1592" i="47"/>
  <c r="B1330" i="47"/>
  <c r="G1956" i="47"/>
  <c r="B1974" i="47" s="1"/>
  <c r="K1988" i="47" s="1"/>
  <c r="C1974" i="47"/>
  <c r="L1988" i="47" s="1"/>
  <c r="H66" i="38"/>
  <c r="G83" i="38"/>
  <c r="G82" i="38"/>
  <c r="G81" i="38"/>
  <c r="G80" i="38"/>
  <c r="G79" i="38"/>
  <c r="G78" i="38"/>
  <c r="G77" i="38"/>
  <c r="G76" i="38"/>
  <c r="G75" i="38"/>
  <c r="G74" i="38"/>
  <c r="G73" i="38"/>
  <c r="G72" i="38"/>
  <c r="G71" i="38"/>
  <c r="G70" i="38"/>
  <c r="G69" i="38"/>
  <c r="G68" i="38"/>
  <c r="G90" i="38"/>
  <c r="G66" i="35"/>
  <c r="F83" i="35"/>
  <c r="F82" i="35"/>
  <c r="F81" i="35"/>
  <c r="F80" i="35"/>
  <c r="F79" i="35"/>
  <c r="F78" i="35"/>
  <c r="F77" i="35"/>
  <c r="F76" i="35"/>
  <c r="F75" i="35"/>
  <c r="F74" i="35"/>
  <c r="F73" i="35"/>
  <c r="F72" i="35"/>
  <c r="F71" i="35"/>
  <c r="F70" i="35"/>
  <c r="F69" i="35"/>
  <c r="F68" i="35"/>
  <c r="F90" i="35"/>
  <c r="E97" i="37"/>
  <c r="F93" i="37"/>
  <c r="E96" i="37"/>
  <c r="E95" i="37"/>
  <c r="E98" i="37"/>
  <c r="D1379" i="47"/>
  <c r="B1379" i="47"/>
  <c r="E1379" i="47" s="1"/>
  <c r="B1423" i="47" s="1"/>
  <c r="C1423" i="47" s="1"/>
  <c r="C1379" i="47"/>
  <c r="D2178" i="47"/>
  <c r="H2178" i="47"/>
  <c r="D2332" i="47"/>
  <c r="D2349" i="47" s="1"/>
  <c r="H2332" i="47"/>
  <c r="H2349" i="47" s="1"/>
  <c r="E2178" i="47"/>
  <c r="J2178" i="47"/>
  <c r="B2332" i="47"/>
  <c r="B2349" i="47" s="1"/>
  <c r="G2332" i="47"/>
  <c r="G2349" i="47" s="1"/>
  <c r="F2178" i="47"/>
  <c r="C2332" i="47"/>
  <c r="C2349" i="47" s="1"/>
  <c r="I2332" i="47"/>
  <c r="I2349" i="47" s="1"/>
  <c r="B2178" i="47"/>
  <c r="G2178" i="47"/>
  <c r="E2332" i="47"/>
  <c r="E2349" i="47" s="1"/>
  <c r="J2332" i="47"/>
  <c r="J2349" i="47" s="1"/>
  <c r="C2178" i="47"/>
  <c r="I2178" i="47"/>
  <c r="F2332" i="47"/>
  <c r="F2349" i="47" s="1"/>
  <c r="B3035" i="47"/>
  <c r="G1954" i="47"/>
  <c r="B1972" i="47" s="1"/>
  <c r="C1988" i="47" s="1"/>
  <c r="C1972" i="47"/>
  <c r="D1988" i="47" s="1"/>
  <c r="C68" i="37"/>
  <c r="AJ7" i="31"/>
  <c r="C68" i="38" s="1"/>
  <c r="C79" i="37"/>
  <c r="AJ18" i="31"/>
  <c r="C79" i="38" s="1"/>
  <c r="C83" i="37"/>
  <c r="AJ22" i="31"/>
  <c r="C83" i="38" s="1"/>
  <c r="B1334" i="47"/>
  <c r="G66" i="34"/>
  <c r="F83" i="34"/>
  <c r="F82" i="34"/>
  <c r="F81" i="34"/>
  <c r="F80" i="34"/>
  <c r="F79" i="34"/>
  <c r="F78" i="34"/>
  <c r="F77" i="34"/>
  <c r="F76" i="34"/>
  <c r="F75" i="34"/>
  <c r="F74" i="34"/>
  <c r="F73" i="34"/>
  <c r="F72" i="34"/>
  <c r="F71" i="34"/>
  <c r="F70" i="34"/>
  <c r="F69" i="34"/>
  <c r="F68" i="34"/>
  <c r="F90" i="34"/>
  <c r="J2329" i="47" l="1"/>
  <c r="J2346" i="47" s="1"/>
  <c r="J2174" i="47"/>
  <c r="G2329" i="47"/>
  <c r="G2346" i="47" s="1"/>
  <c r="B1523" i="47"/>
  <c r="D1592" i="47"/>
  <c r="H1775" i="47"/>
  <c r="H2046" i="47" s="1"/>
  <c r="G1796" i="47"/>
  <c r="G2072" i="47" s="1"/>
  <c r="E1804" i="47"/>
  <c r="E2081" i="47" s="1"/>
  <c r="I1820" i="47"/>
  <c r="I2098" i="47" s="1"/>
  <c r="J1592" i="47"/>
  <c r="J1804" i="47"/>
  <c r="J2081" i="47" s="1"/>
  <c r="F2329" i="47"/>
  <c r="F2346" i="47" s="1"/>
  <c r="I2329" i="47"/>
  <c r="I2346" i="47" s="1"/>
  <c r="B2329" i="47"/>
  <c r="B2346" i="47" s="1"/>
  <c r="H2174" i="47"/>
  <c r="I1592" i="47"/>
  <c r="D1821" i="47"/>
  <c r="D2099" i="47" s="1"/>
  <c r="D1783" i="47"/>
  <c r="D2059" i="47" s="1"/>
  <c r="F1796" i="47"/>
  <c r="F2072" i="47" s="1"/>
  <c r="E1775" i="47"/>
  <c r="E2046" i="47" s="1"/>
  <c r="B2174" i="47"/>
  <c r="D2329" i="47"/>
  <c r="D2346" i="47" s="1"/>
  <c r="I2174" i="47"/>
  <c r="C1376" i="47"/>
  <c r="C1550" i="47" s="1"/>
  <c r="C1976" i="47"/>
  <c r="T1988" i="47" s="1"/>
  <c r="E1821" i="47"/>
  <c r="E2099" i="47" s="1"/>
  <c r="E1783" i="47"/>
  <c r="E2059" i="47" s="1"/>
  <c r="E2158" i="47" s="1"/>
  <c r="E2231" i="47" s="1"/>
  <c r="D1819" i="47"/>
  <c r="D2097" i="47" s="1"/>
  <c r="F2193" i="47"/>
  <c r="F2230" i="47" s="1"/>
  <c r="C2193" i="47"/>
  <c r="C2230" i="47" s="1"/>
  <c r="I2334" i="47"/>
  <c r="I2351" i="47" s="1"/>
  <c r="C2334" i="47"/>
  <c r="C2351" i="47" s="1"/>
  <c r="D2180" i="47"/>
  <c r="J2334" i="47"/>
  <c r="J2351" i="47" s="1"/>
  <c r="J2367" i="47" s="1"/>
  <c r="F2180" i="47"/>
  <c r="B1399" i="47"/>
  <c r="I1783" i="47"/>
  <c r="I2059" i="47" s="1"/>
  <c r="B1805" i="47"/>
  <c r="B2082" i="47" s="1"/>
  <c r="D1803" i="47"/>
  <c r="D2080" i="47" s="1"/>
  <c r="J2193" i="47"/>
  <c r="J2230" i="47" s="1"/>
  <c r="I2193" i="47"/>
  <c r="I2230" i="47" s="1"/>
  <c r="D2334" i="47"/>
  <c r="D2351" i="47" s="1"/>
  <c r="E2180" i="47"/>
  <c r="E2334" i="47"/>
  <c r="E2351" i="47" s="1"/>
  <c r="F2334" i="47"/>
  <c r="F2351" i="47" s="1"/>
  <c r="B2180" i="47"/>
  <c r="D1399" i="47"/>
  <c r="D1663" i="47" s="1"/>
  <c r="C1592" i="47"/>
  <c r="D1775" i="47"/>
  <c r="D2046" i="47" s="1"/>
  <c r="I1775" i="47"/>
  <c r="I2046" i="47" s="1"/>
  <c r="B1775" i="47"/>
  <c r="B2046" i="47" s="1"/>
  <c r="B2811" i="47" s="1"/>
  <c r="B2957" i="47" s="1"/>
  <c r="B3205" i="47" s="1"/>
  <c r="C1796" i="47"/>
  <c r="C2072" i="47" s="1"/>
  <c r="B1803" i="47"/>
  <c r="B2080" i="47" s="1"/>
  <c r="C1803" i="47"/>
  <c r="C2080" i="47" s="1"/>
  <c r="G2193" i="47"/>
  <c r="G2230" i="47" s="1"/>
  <c r="D2193" i="47"/>
  <c r="D2230" i="47" s="1"/>
  <c r="G2180" i="47"/>
  <c r="G2334" i="47"/>
  <c r="G2351" i="47" s="1"/>
  <c r="G2367" i="47" s="1"/>
  <c r="H2180" i="47"/>
  <c r="B2334" i="47"/>
  <c r="B2351" i="47" s="1"/>
  <c r="D1804" i="47"/>
  <c r="D2081" i="47" s="1"/>
  <c r="G2174" i="47"/>
  <c r="F2174" i="47"/>
  <c r="E2174" i="47"/>
  <c r="C2174" i="47"/>
  <c r="D2174" i="47"/>
  <c r="I2327" i="47"/>
  <c r="I2344" i="47" s="1"/>
  <c r="I2367" i="47" s="1"/>
  <c r="E1592" i="47"/>
  <c r="E1593" i="47"/>
  <c r="I1803" i="47"/>
  <c r="I2080" i="47" s="1"/>
  <c r="B1796" i="47"/>
  <c r="B2072" i="47" s="1"/>
  <c r="B2840" i="47" s="1"/>
  <c r="B2980" i="47" s="1"/>
  <c r="B3243" i="47" s="1"/>
  <c r="F1782" i="47"/>
  <c r="F2058" i="47" s="1"/>
  <c r="F2157" i="47" s="1"/>
  <c r="F2229" i="47" s="1"/>
  <c r="F1775" i="47"/>
  <c r="F2046" i="47" s="1"/>
  <c r="I1796" i="47"/>
  <c r="I2072" i="47" s="1"/>
  <c r="D1796" i="47"/>
  <c r="D2072" i="47" s="1"/>
  <c r="B1819" i="47"/>
  <c r="B2097" i="47" s="1"/>
  <c r="B2868" i="47" s="1"/>
  <c r="B3296" i="47" s="1"/>
  <c r="C1775" i="47"/>
  <c r="C2046" i="47" s="1"/>
  <c r="D1805" i="47"/>
  <c r="D2082" i="47" s="1"/>
  <c r="D1820" i="47"/>
  <c r="D2098" i="47" s="1"/>
  <c r="D2158" i="47" s="1"/>
  <c r="D2231" i="47" s="1"/>
  <c r="H2327" i="47"/>
  <c r="H2344" i="47" s="1"/>
  <c r="H2367" i="47" s="1"/>
  <c r="G2327" i="47"/>
  <c r="G2344" i="47" s="1"/>
  <c r="J2171" i="47"/>
  <c r="I2171" i="47"/>
  <c r="G2171" i="47"/>
  <c r="B1522" i="47"/>
  <c r="E1796" i="47"/>
  <c r="E2072" i="47" s="1"/>
  <c r="B1782" i="47"/>
  <c r="B2058" i="47" s="1"/>
  <c r="B2823" i="47" s="1"/>
  <c r="B3220" i="47" s="1"/>
  <c r="I1819" i="47"/>
  <c r="I2097" i="47" s="1"/>
  <c r="C2327" i="47"/>
  <c r="C2344" i="47" s="1"/>
  <c r="C2367" i="47" s="1"/>
  <c r="B2327" i="47"/>
  <c r="B2344" i="47" s="1"/>
  <c r="B2367" i="47" s="1"/>
  <c r="E2171" i="47"/>
  <c r="D2171" i="47"/>
  <c r="C2171" i="47"/>
  <c r="D1375" i="47"/>
  <c r="D1549" i="47" s="1"/>
  <c r="B3030" i="47"/>
  <c r="B3055" i="47" s="1"/>
  <c r="B3065" i="47" s="1"/>
  <c r="B2171" i="47"/>
  <c r="F2327" i="47"/>
  <c r="F2344" i="47" s="1"/>
  <c r="D2327" i="47"/>
  <c r="D2344" i="47" s="1"/>
  <c r="D2367" i="47" s="1"/>
  <c r="E2327" i="47"/>
  <c r="E2344" i="47" s="1"/>
  <c r="E2367" i="47" s="1"/>
  <c r="B2517" i="47"/>
  <c r="C2517" i="47"/>
  <c r="H2517" i="47" s="1"/>
  <c r="L2529" i="47" s="1"/>
  <c r="Q1477" i="47"/>
  <c r="Q1749" i="47" s="1"/>
  <c r="I1477" i="47"/>
  <c r="I1749" i="47" s="1"/>
  <c r="AC1477" i="47"/>
  <c r="AC1749" i="47" s="1"/>
  <c r="AG1477" i="47"/>
  <c r="AG1749" i="47" s="1"/>
  <c r="M1477" i="47"/>
  <c r="M1749" i="47" s="1"/>
  <c r="Y1477" i="47"/>
  <c r="Y1749" i="47" s="1"/>
  <c r="U1477" i="47"/>
  <c r="U1749" i="47" s="1"/>
  <c r="E1477" i="47"/>
  <c r="E1749" i="47" s="1"/>
  <c r="AK1477" i="47"/>
  <c r="AK1749" i="47" s="1"/>
  <c r="AJ1477" i="47"/>
  <c r="AJ1749" i="47" s="1"/>
  <c r="O1477" i="47"/>
  <c r="O1749" i="47" s="1"/>
  <c r="C1477" i="47"/>
  <c r="C1749" i="47" s="1"/>
  <c r="L1477" i="47"/>
  <c r="L1749" i="47" s="1"/>
  <c r="H1477" i="47"/>
  <c r="H1749" i="47" s="1"/>
  <c r="D1477" i="47"/>
  <c r="D1749" i="47" s="1"/>
  <c r="P1477" i="47"/>
  <c r="P1749" i="47" s="1"/>
  <c r="G1477" i="47"/>
  <c r="G1749" i="47" s="1"/>
  <c r="S1477" i="47"/>
  <c r="S1749" i="47" s="1"/>
  <c r="AB1477" i="47"/>
  <c r="AB1749" i="47" s="1"/>
  <c r="X1477" i="47"/>
  <c r="X1749" i="47" s="1"/>
  <c r="T1477" i="47"/>
  <c r="T1749" i="47" s="1"/>
  <c r="AF1477" i="47"/>
  <c r="AF1749" i="47" s="1"/>
  <c r="W1477" i="47"/>
  <c r="W1749" i="47" s="1"/>
  <c r="AI1477" i="47"/>
  <c r="AI1749" i="47" s="1"/>
  <c r="K1477" i="47"/>
  <c r="K1749" i="47" s="1"/>
  <c r="AE1477" i="47"/>
  <c r="AE1749" i="47" s="1"/>
  <c r="AA1477" i="47"/>
  <c r="AA1749" i="47" s="1"/>
  <c r="B1549" i="47"/>
  <c r="B1563" i="47" s="1"/>
  <c r="E1375" i="47"/>
  <c r="B1416" i="47" s="1"/>
  <c r="C1416" i="47" s="1"/>
  <c r="B1662" i="47"/>
  <c r="E1398" i="47"/>
  <c r="B1424" i="47" s="1"/>
  <c r="C1424" i="47" s="1"/>
  <c r="I1479" i="47"/>
  <c r="I1751" i="47" s="1"/>
  <c r="AG1479" i="47"/>
  <c r="AG1751" i="47" s="1"/>
  <c r="U1479" i="47"/>
  <c r="U1751" i="47" s="1"/>
  <c r="E1479" i="47"/>
  <c r="E1751" i="47" s="1"/>
  <c r="Q1479" i="47"/>
  <c r="Q1751" i="47" s="1"/>
  <c r="Y1479" i="47"/>
  <c r="Y1751" i="47" s="1"/>
  <c r="AK1479" i="47"/>
  <c r="AK1751" i="47" s="1"/>
  <c r="M1479" i="47"/>
  <c r="M1751" i="47" s="1"/>
  <c r="AC1479" i="47"/>
  <c r="AC1751" i="47" s="1"/>
  <c r="AJ1479" i="47"/>
  <c r="AJ1751" i="47" s="1"/>
  <c r="AF1479" i="47"/>
  <c r="AF1751" i="47" s="1"/>
  <c r="AB1479" i="47"/>
  <c r="AB1751" i="47" s="1"/>
  <c r="AE1479" i="47"/>
  <c r="AE1751" i="47" s="1"/>
  <c r="G1479" i="47"/>
  <c r="G1751" i="47" s="1"/>
  <c r="D1479" i="47"/>
  <c r="D1751" i="47" s="1"/>
  <c r="H1479" i="47"/>
  <c r="H1751" i="47" s="1"/>
  <c r="K1479" i="47"/>
  <c r="K1751" i="47" s="1"/>
  <c r="T1479" i="47"/>
  <c r="T1751" i="47" s="1"/>
  <c r="P1479" i="47"/>
  <c r="P1751" i="47" s="1"/>
  <c r="L1479" i="47"/>
  <c r="L1751" i="47" s="1"/>
  <c r="X1479" i="47"/>
  <c r="X1751" i="47" s="1"/>
  <c r="O1479" i="47"/>
  <c r="O1751" i="47" s="1"/>
  <c r="AA1479" i="47"/>
  <c r="AA1751" i="47" s="1"/>
  <c r="AI1479" i="47"/>
  <c r="AI1751" i="47" s="1"/>
  <c r="W1479" i="47"/>
  <c r="W1751" i="47" s="1"/>
  <c r="C1479" i="47"/>
  <c r="C1751" i="47" s="1"/>
  <c r="S1479" i="47"/>
  <c r="S1751" i="47" s="1"/>
  <c r="F2367" i="47"/>
  <c r="G1961" i="47"/>
  <c r="B1979" i="47" s="1"/>
  <c r="AE1988" i="47" s="1"/>
  <c r="C1979" i="47"/>
  <c r="AF1988" i="47" s="1"/>
  <c r="Q1483" i="47"/>
  <c r="Q1755" i="47" s="1"/>
  <c r="AK1483" i="47"/>
  <c r="AK1755" i="47" s="1"/>
  <c r="E1483" i="47"/>
  <c r="E1755" i="47" s="1"/>
  <c r="Y1483" i="47"/>
  <c r="Y1755" i="47" s="1"/>
  <c r="AG1483" i="47"/>
  <c r="AG1755" i="47" s="1"/>
  <c r="I1483" i="47"/>
  <c r="I1755" i="47" s="1"/>
  <c r="U1483" i="47"/>
  <c r="U1755" i="47" s="1"/>
  <c r="AC1483" i="47"/>
  <c r="AC1755" i="47" s="1"/>
  <c r="M1483" i="47"/>
  <c r="M1755" i="47" s="1"/>
  <c r="T1483" i="47"/>
  <c r="T1755" i="47" s="1"/>
  <c r="P1483" i="47"/>
  <c r="P1755" i="47" s="1"/>
  <c r="L1483" i="47"/>
  <c r="L1755" i="47" s="1"/>
  <c r="X1483" i="47"/>
  <c r="X1755" i="47" s="1"/>
  <c r="O1483" i="47"/>
  <c r="O1755" i="47" s="1"/>
  <c r="AA1483" i="47"/>
  <c r="AA1755" i="47" s="1"/>
  <c r="AJ1483" i="47"/>
  <c r="AJ1755" i="47" s="1"/>
  <c r="AF1483" i="47"/>
  <c r="AF1755" i="47" s="1"/>
  <c r="AB1483" i="47"/>
  <c r="AB1755" i="47" s="1"/>
  <c r="AE1483" i="47"/>
  <c r="AE1755" i="47" s="1"/>
  <c r="W1483" i="47"/>
  <c r="W1755" i="47" s="1"/>
  <c r="D1483" i="47"/>
  <c r="D1755" i="47" s="1"/>
  <c r="H1483" i="47"/>
  <c r="H1755" i="47" s="1"/>
  <c r="K1483" i="47"/>
  <c r="K1755" i="47" s="1"/>
  <c r="G1483" i="47"/>
  <c r="G1755" i="47" s="1"/>
  <c r="C1483" i="47"/>
  <c r="C1755" i="47" s="1"/>
  <c r="S1483" i="47"/>
  <c r="S1755" i="47" s="1"/>
  <c r="AI1483" i="47"/>
  <c r="AI1755" i="47" s="1"/>
  <c r="E1474" i="47"/>
  <c r="Y1474" i="47"/>
  <c r="I1474" i="47"/>
  <c r="AC1474" i="47"/>
  <c r="AK1474" i="47"/>
  <c r="M1474" i="47"/>
  <c r="U1474" i="47"/>
  <c r="AG1474" i="47"/>
  <c r="Q1474" i="47"/>
  <c r="X1474" i="47"/>
  <c r="T1474" i="47"/>
  <c r="P1474" i="47"/>
  <c r="AB1474" i="47"/>
  <c r="S1474" i="47"/>
  <c r="AE1474" i="47"/>
  <c r="AJ1474" i="47"/>
  <c r="AF1474" i="47"/>
  <c r="AI1474" i="47"/>
  <c r="AA1474" i="47"/>
  <c r="G1474" i="47"/>
  <c r="H1474" i="47"/>
  <c r="D1474" i="47"/>
  <c r="L1474" i="47"/>
  <c r="C1474" i="47"/>
  <c r="O1474" i="47"/>
  <c r="W1474" i="47"/>
  <c r="K1474" i="47"/>
  <c r="E1471" i="47"/>
  <c r="Y1471" i="47"/>
  <c r="I1471" i="47"/>
  <c r="AG1471" i="47"/>
  <c r="Q1471" i="47"/>
  <c r="AK1471" i="47"/>
  <c r="M1471" i="47"/>
  <c r="AC1471" i="47"/>
  <c r="U1471" i="47"/>
  <c r="D1471" i="47"/>
  <c r="H1471" i="47"/>
  <c r="K1471" i="47"/>
  <c r="S1471" i="47"/>
  <c r="T1471" i="47"/>
  <c r="P1471" i="47"/>
  <c r="L1471" i="47"/>
  <c r="X1471" i="47"/>
  <c r="O1471" i="47"/>
  <c r="AA1471" i="47"/>
  <c r="AJ1471" i="47"/>
  <c r="AF1471" i="47"/>
  <c r="AB1471" i="47"/>
  <c r="AE1471" i="47"/>
  <c r="G1471" i="47"/>
  <c r="W1471" i="47"/>
  <c r="C1471" i="47"/>
  <c r="AI1471" i="47"/>
  <c r="U1484" i="47"/>
  <c r="U1756" i="47" s="1"/>
  <c r="M1484" i="47"/>
  <c r="M1756" i="47" s="1"/>
  <c r="AG1484" i="47"/>
  <c r="AG1756" i="47" s="1"/>
  <c r="AK1484" i="47"/>
  <c r="AK1756" i="47" s="1"/>
  <c r="E1484" i="47"/>
  <c r="E1756" i="47" s="1"/>
  <c r="Q1484" i="47"/>
  <c r="Q1756" i="47" s="1"/>
  <c r="AC1484" i="47"/>
  <c r="AC1756" i="47" s="1"/>
  <c r="Y1484" i="47"/>
  <c r="Y1756" i="47" s="1"/>
  <c r="I1484" i="47"/>
  <c r="I1756" i="47" s="1"/>
  <c r="S1484" i="47"/>
  <c r="S1756" i="47" s="1"/>
  <c r="D1484" i="47"/>
  <c r="D1756" i="47" s="1"/>
  <c r="G1484" i="47"/>
  <c r="G1756" i="47" s="1"/>
  <c r="P1484" i="47"/>
  <c r="P1756" i="47" s="1"/>
  <c r="L1484" i="47"/>
  <c r="L1756" i="47" s="1"/>
  <c r="H1484" i="47"/>
  <c r="H1756" i="47" s="1"/>
  <c r="T1484" i="47"/>
  <c r="T1756" i="47" s="1"/>
  <c r="K1484" i="47"/>
  <c r="K1756" i="47" s="1"/>
  <c r="W1484" i="47"/>
  <c r="W1756" i="47" s="1"/>
  <c r="AF1484" i="47"/>
  <c r="AF1756" i="47" s="1"/>
  <c r="AB1484" i="47"/>
  <c r="AB1756" i="47" s="1"/>
  <c r="X1484" i="47"/>
  <c r="X1756" i="47" s="1"/>
  <c r="AJ1484" i="47"/>
  <c r="AJ1756" i="47" s="1"/>
  <c r="AA1484" i="47"/>
  <c r="AA1756" i="47" s="1"/>
  <c r="C1484" i="47"/>
  <c r="C1756" i="47" s="1"/>
  <c r="O1484" i="47"/>
  <c r="O1756" i="47" s="1"/>
  <c r="AI1484" i="47"/>
  <c r="AI1756" i="47" s="1"/>
  <c r="AE1484" i="47"/>
  <c r="AE1756" i="47" s="1"/>
  <c r="I1482" i="47"/>
  <c r="I1754" i="47" s="1"/>
  <c r="AC1482" i="47"/>
  <c r="AC1754" i="47" s="1"/>
  <c r="U1482" i="47"/>
  <c r="U1754" i="47" s="1"/>
  <c r="Y1482" i="47"/>
  <c r="Y1754" i="47" s="1"/>
  <c r="AK1482" i="47"/>
  <c r="AK1754" i="47" s="1"/>
  <c r="E1482" i="47"/>
  <c r="E1754" i="47" s="1"/>
  <c r="M1482" i="47"/>
  <c r="M1754" i="47" s="1"/>
  <c r="AG1482" i="47"/>
  <c r="AG1754" i="47" s="1"/>
  <c r="Q1482" i="47"/>
  <c r="Q1754" i="47" s="1"/>
  <c r="AA1482" i="47"/>
  <c r="AA1754" i="47" s="1"/>
  <c r="H1482" i="47"/>
  <c r="H1754" i="47" s="1"/>
  <c r="D1482" i="47"/>
  <c r="D1754" i="47" s="1"/>
  <c r="L1482" i="47"/>
  <c r="L1754" i="47" s="1"/>
  <c r="C1482" i="47"/>
  <c r="C1754" i="47" s="1"/>
  <c r="O1482" i="47"/>
  <c r="O1754" i="47" s="1"/>
  <c r="X1482" i="47"/>
  <c r="X1754" i="47" s="1"/>
  <c r="T1482" i="47"/>
  <c r="T1754" i="47" s="1"/>
  <c r="P1482" i="47"/>
  <c r="P1754" i="47" s="1"/>
  <c r="AB1482" i="47"/>
  <c r="AB1754" i="47" s="1"/>
  <c r="S1482" i="47"/>
  <c r="S1754" i="47" s="1"/>
  <c r="AE1482" i="47"/>
  <c r="AE1754" i="47" s="1"/>
  <c r="AJ1482" i="47"/>
  <c r="AJ1754" i="47" s="1"/>
  <c r="AF1482" i="47"/>
  <c r="AF1754" i="47" s="1"/>
  <c r="AI1482" i="47"/>
  <c r="AI1754" i="47" s="1"/>
  <c r="K1482" i="47"/>
  <c r="K1754" i="47" s="1"/>
  <c r="W1482" i="47"/>
  <c r="W1754" i="47" s="1"/>
  <c r="G1482" i="47"/>
  <c r="G1754" i="47" s="1"/>
  <c r="B1663" i="47"/>
  <c r="E1399" i="47"/>
  <c r="B1425" i="47" s="1"/>
  <c r="C1425" i="47" s="1"/>
  <c r="B1550" i="47"/>
  <c r="E1376" i="47"/>
  <c r="B1419" i="47" s="1"/>
  <c r="C1419" i="47" s="1"/>
  <c r="G2195" i="47"/>
  <c r="G2232" i="47" s="1"/>
  <c r="D2195" i="47"/>
  <c r="D2232" i="47" s="1"/>
  <c r="F2195" i="47"/>
  <c r="F2232" i="47" s="1"/>
  <c r="I2195" i="47"/>
  <c r="I2232" i="47" s="1"/>
  <c r="B2195" i="47"/>
  <c r="B2232" i="47" s="1"/>
  <c r="E2195" i="47"/>
  <c r="E2232" i="47" s="1"/>
  <c r="C2195" i="47"/>
  <c r="C2232" i="47" s="1"/>
  <c r="H2195" i="47"/>
  <c r="H2232" i="47" s="1"/>
  <c r="J2195" i="47"/>
  <c r="J2232" i="47" s="1"/>
  <c r="C1909" i="47"/>
  <c r="D1909" i="47"/>
  <c r="D1927" i="47"/>
  <c r="B1909" i="47"/>
  <c r="E1909" i="47" s="1"/>
  <c r="B1927" i="47" s="1"/>
  <c r="C1927" i="47" s="1"/>
  <c r="B2188" i="47"/>
  <c r="F2188" i="47"/>
  <c r="J2188" i="47"/>
  <c r="E2188" i="47"/>
  <c r="B2493" i="47"/>
  <c r="G2188" i="47"/>
  <c r="C2188" i="47"/>
  <c r="H2188" i="47"/>
  <c r="D2188" i="47"/>
  <c r="I2188" i="47"/>
  <c r="H66" i="35"/>
  <c r="G83" i="35"/>
  <c r="G82" i="35"/>
  <c r="G81" i="35"/>
  <c r="G80" i="35"/>
  <c r="G79" i="35"/>
  <c r="G78" i="35"/>
  <c r="G77" i="35"/>
  <c r="G76" i="35"/>
  <c r="G75" i="35"/>
  <c r="G74" i="35"/>
  <c r="G73" i="35"/>
  <c r="G72" i="35"/>
  <c r="G71" i="35"/>
  <c r="G70" i="35"/>
  <c r="G69" i="35"/>
  <c r="G68" i="35"/>
  <c r="G90" i="35"/>
  <c r="H66" i="34"/>
  <c r="G83" i="34"/>
  <c r="G82" i="34"/>
  <c r="G81" i="34"/>
  <c r="G80" i="34"/>
  <c r="G79" i="34"/>
  <c r="G78" i="34"/>
  <c r="G77" i="34"/>
  <c r="G76" i="34"/>
  <c r="G75" i="34"/>
  <c r="G74" i="34"/>
  <c r="G73" i="34"/>
  <c r="G72" i="34"/>
  <c r="G71" i="34"/>
  <c r="G70" i="34"/>
  <c r="G69" i="34"/>
  <c r="G68" i="34"/>
  <c r="G90" i="34"/>
  <c r="F96" i="37"/>
  <c r="F95" i="37"/>
  <c r="F98" i="37"/>
  <c r="F97" i="37"/>
  <c r="B2135" i="47"/>
  <c r="B2214" i="47" s="1"/>
  <c r="B2383" i="47" s="1"/>
  <c r="C2157" i="47"/>
  <c r="C2229" i="47" s="1"/>
  <c r="E2135" i="47"/>
  <c r="E2214" i="47" s="1"/>
  <c r="E2383" i="47" s="1"/>
  <c r="C2158" i="47"/>
  <c r="C2231" i="47" s="1"/>
  <c r="B146" i="35"/>
  <c r="F146" i="35"/>
  <c r="C146" i="35"/>
  <c r="G146" i="35"/>
  <c r="D146" i="35"/>
  <c r="E146" i="36"/>
  <c r="C146" i="36"/>
  <c r="G146" i="36"/>
  <c r="E146" i="35"/>
  <c r="F146" i="36"/>
  <c r="E146" i="37"/>
  <c r="B146" i="37"/>
  <c r="F146" i="37"/>
  <c r="B146" i="36"/>
  <c r="D146" i="36"/>
  <c r="D146" i="37"/>
  <c r="C146" i="37"/>
  <c r="G146" i="37"/>
  <c r="D146" i="38"/>
  <c r="E146" i="38"/>
  <c r="F146" i="38"/>
  <c r="C146" i="34"/>
  <c r="G146" i="34"/>
  <c r="G146" i="38"/>
  <c r="B146" i="38"/>
  <c r="E146" i="34"/>
  <c r="C146" i="38"/>
  <c r="B146" i="34"/>
  <c r="F146" i="34"/>
  <c r="D146" i="34"/>
  <c r="B112" i="41"/>
  <c r="J2135" i="47"/>
  <c r="J2214" i="47" s="1"/>
  <c r="J2383" i="47" s="1"/>
  <c r="B2869" i="47"/>
  <c r="B3298" i="47" s="1"/>
  <c r="C2159" i="47"/>
  <c r="C2233" i="47" s="1"/>
  <c r="B2848" i="47"/>
  <c r="B3258" i="47" s="1"/>
  <c r="G2159" i="47"/>
  <c r="G2233" i="47" s="1"/>
  <c r="B2870" i="47"/>
  <c r="B3300" i="47" s="1"/>
  <c r="C3055" i="47"/>
  <c r="C3065" i="47" s="1"/>
  <c r="C1563" i="47"/>
  <c r="D1563" i="47"/>
  <c r="I66" i="38"/>
  <c r="H83" i="38"/>
  <c r="H82" i="38"/>
  <c r="H81" i="38"/>
  <c r="H80" i="38"/>
  <c r="H79" i="38"/>
  <c r="H78" i="38"/>
  <c r="H77" i="38"/>
  <c r="H76" i="38"/>
  <c r="H75" i="38"/>
  <c r="H74" i="38"/>
  <c r="H73" i="38"/>
  <c r="H72" i="38"/>
  <c r="H71" i="38"/>
  <c r="H70" i="38"/>
  <c r="H69" i="38"/>
  <c r="H68" i="38"/>
  <c r="H90" i="38"/>
  <c r="C1887" i="47"/>
  <c r="D1887" i="47"/>
  <c r="D1923" i="47"/>
  <c r="B1887" i="47"/>
  <c r="E1887" i="47" s="1"/>
  <c r="B1923" i="47" s="1"/>
  <c r="C1923" i="47" s="1"/>
  <c r="B2184" i="47"/>
  <c r="F2184" i="47"/>
  <c r="J2184" i="47"/>
  <c r="D2184" i="47"/>
  <c r="I2184" i="47"/>
  <c r="B2489" i="47"/>
  <c r="E2184" i="47"/>
  <c r="G2184" i="47"/>
  <c r="C2184" i="47"/>
  <c r="H2184" i="47"/>
  <c r="B2849" i="47"/>
  <c r="B3260" i="47" s="1"/>
  <c r="I2159" i="47"/>
  <c r="I2233" i="47" s="1"/>
  <c r="D2135" i="47"/>
  <c r="D2214" i="47" s="1"/>
  <c r="D2383" i="47" s="1"/>
  <c r="E2157" i="47"/>
  <c r="E2229" i="47" s="1"/>
  <c r="C650" i="47"/>
  <c r="B681" i="47" s="1"/>
  <c r="D649" i="47"/>
  <c r="F2158" i="47"/>
  <c r="F2231" i="47" s="1"/>
  <c r="I2158" i="47"/>
  <c r="I2231" i="47" s="1"/>
  <c r="B2850" i="47"/>
  <c r="B3262" i="47" s="1"/>
  <c r="F2135" i="47"/>
  <c r="F2214" i="47" s="1"/>
  <c r="F2383" i="47" s="1"/>
  <c r="E2159" i="47"/>
  <c r="E2233" i="47" s="1"/>
  <c r="H2159" i="47"/>
  <c r="H2233" i="47" s="1"/>
  <c r="H2158" i="47"/>
  <c r="H2231" i="47" s="1"/>
  <c r="H66" i="37"/>
  <c r="G83" i="37"/>
  <c r="G82" i="37"/>
  <c r="G81" i="37"/>
  <c r="G80" i="37"/>
  <c r="G79" i="37"/>
  <c r="G78" i="37"/>
  <c r="G77" i="37"/>
  <c r="G76" i="37"/>
  <c r="G75" i="37"/>
  <c r="G74" i="37"/>
  <c r="G73" i="37"/>
  <c r="G72" i="37"/>
  <c r="G71" i="37"/>
  <c r="G70" i="37"/>
  <c r="G69" i="37"/>
  <c r="G68" i="37"/>
  <c r="G90" i="37"/>
  <c r="B2824" i="47"/>
  <c r="B3222" i="47" s="1"/>
  <c r="B2158" i="47"/>
  <c r="B2231" i="47" s="1"/>
  <c r="B666" i="47"/>
  <c r="B652" i="47"/>
  <c r="B667" i="47" s="1"/>
  <c r="C2191" i="47"/>
  <c r="C2228" i="47" s="1"/>
  <c r="G2191" i="47"/>
  <c r="G2228" i="47" s="1"/>
  <c r="E2191" i="47"/>
  <c r="E2228" i="47" s="1"/>
  <c r="J2191" i="47"/>
  <c r="J2228" i="47" s="1"/>
  <c r="F2191" i="47"/>
  <c r="F2228" i="47" s="1"/>
  <c r="B2191" i="47"/>
  <c r="B2228" i="47" s="1"/>
  <c r="H2191" i="47"/>
  <c r="H2228" i="47" s="1"/>
  <c r="D2191" i="47"/>
  <c r="D2228" i="47" s="1"/>
  <c r="I2191" i="47"/>
  <c r="I2228" i="47" s="1"/>
  <c r="C2135" i="47"/>
  <c r="C2214" i="47" s="1"/>
  <c r="C2383" i="47" s="1"/>
  <c r="B2825" i="47"/>
  <c r="B3224" i="47" s="1"/>
  <c r="B2159" i="47"/>
  <c r="B2233" i="47" s="1"/>
  <c r="H2157" i="47"/>
  <c r="H2229" i="47" s="1"/>
  <c r="J2158" i="47"/>
  <c r="J2231" i="47" s="1"/>
  <c r="G2135" i="47"/>
  <c r="G2214" i="47" s="1"/>
  <c r="G2383" i="47" s="1"/>
  <c r="F2159" i="47"/>
  <c r="F2233" i="47" s="1"/>
  <c r="G2157" i="47"/>
  <c r="G2229" i="47" s="1"/>
  <c r="I2135" i="47"/>
  <c r="I2214" i="47" s="1"/>
  <c r="I2383" i="47" s="1"/>
  <c r="J2157" i="47"/>
  <c r="J2229" i="47" s="1"/>
  <c r="J2159" i="47"/>
  <c r="J2233" i="47" s="1"/>
  <c r="G2158" i="47"/>
  <c r="G2231" i="47" s="1"/>
  <c r="I66" i="36"/>
  <c r="H83" i="36"/>
  <c r="H82" i="36"/>
  <c r="H81" i="36"/>
  <c r="H80" i="36"/>
  <c r="H79" i="36"/>
  <c r="H78" i="36"/>
  <c r="H77" i="36"/>
  <c r="H76" i="36"/>
  <c r="H75" i="36"/>
  <c r="H74" i="36"/>
  <c r="H73" i="36"/>
  <c r="H72" i="36"/>
  <c r="H71" i="36"/>
  <c r="H70" i="36"/>
  <c r="H69" i="36"/>
  <c r="H68" i="36"/>
  <c r="H90" i="36"/>
  <c r="H2135" i="47"/>
  <c r="H2214" i="47" s="1"/>
  <c r="H2383" i="47" s="1"/>
  <c r="D2157" i="47"/>
  <c r="D2229" i="47" s="1"/>
  <c r="B1505" i="47"/>
  <c r="C1564" i="47" s="1"/>
  <c r="C2175" i="47"/>
  <c r="G2175" i="47"/>
  <c r="E2175" i="47"/>
  <c r="J2175" i="47"/>
  <c r="F2175" i="47"/>
  <c r="B2175" i="47"/>
  <c r="H2175" i="47"/>
  <c r="D2175" i="47"/>
  <c r="I2175" i="47"/>
  <c r="D2159" i="47"/>
  <c r="D2233" i="47" s="1"/>
  <c r="B2501" i="47" l="1"/>
  <c r="D2517" i="47" s="1"/>
  <c r="E2517" i="47" s="1"/>
  <c r="E3055" i="47"/>
  <c r="E3065" i="47" s="1"/>
  <c r="B3079" i="47" s="1"/>
  <c r="D3055" i="47"/>
  <c r="D3065" i="47" s="1"/>
  <c r="B3077" i="47" s="1"/>
  <c r="I2157" i="47"/>
  <c r="I2229" i="47" s="1"/>
  <c r="G2517" i="47"/>
  <c r="K2529" i="47" s="1"/>
  <c r="B2157" i="47"/>
  <c r="B2229" i="47" s="1"/>
  <c r="B1936" i="47"/>
  <c r="W1999" i="47" s="1"/>
  <c r="B3082" i="47"/>
  <c r="B3075" i="47"/>
  <c r="J1800" i="47"/>
  <c r="J2076" i="47" s="1"/>
  <c r="J1816" i="47"/>
  <c r="J2093" i="47" s="1"/>
  <c r="J1779" i="47"/>
  <c r="J2050" i="47" s="1"/>
  <c r="F1800" i="47"/>
  <c r="F2076" i="47" s="1"/>
  <c r="F1816" i="47"/>
  <c r="F2093" i="47" s="1"/>
  <c r="F1779" i="47"/>
  <c r="F2050" i="47" s="1"/>
  <c r="B1781" i="47"/>
  <c r="B2052" i="47" s="1"/>
  <c r="B1818" i="47"/>
  <c r="B2095" i="47" s="1"/>
  <c r="B2866" i="47" s="1"/>
  <c r="B3000" i="47" s="1"/>
  <c r="B3287" i="47" s="1"/>
  <c r="B1802" i="47"/>
  <c r="B2078" i="47" s="1"/>
  <c r="B2846" i="47" s="1"/>
  <c r="B2986" i="47" s="1"/>
  <c r="B3249" i="47" s="1"/>
  <c r="C1781" i="47"/>
  <c r="C2052" i="47" s="1"/>
  <c r="C1802" i="47"/>
  <c r="C2078" i="47" s="1"/>
  <c r="C1818" i="47"/>
  <c r="C2095" i="47" s="1"/>
  <c r="F1780" i="47"/>
  <c r="F2051" i="47" s="1"/>
  <c r="F1801" i="47"/>
  <c r="F2077" i="47" s="1"/>
  <c r="F1817" i="47"/>
  <c r="F2094" i="47" s="1"/>
  <c r="E1817" i="47"/>
  <c r="E2094" i="47" s="1"/>
  <c r="E1780" i="47"/>
  <c r="E2051" i="47" s="1"/>
  <c r="E1801" i="47"/>
  <c r="E2077" i="47" s="1"/>
  <c r="B1776" i="47"/>
  <c r="B2047" i="47" s="1"/>
  <c r="B1797" i="47"/>
  <c r="B2073" i="47" s="1"/>
  <c r="B2841" i="47" s="1"/>
  <c r="B2981" i="47" s="1"/>
  <c r="B3244" i="47" s="1"/>
  <c r="E1776" i="47"/>
  <c r="E2047" i="47" s="1"/>
  <c r="E1797" i="47"/>
  <c r="E2073" i="47" s="1"/>
  <c r="C1776" i="47"/>
  <c r="C2047" i="47" s="1"/>
  <c r="C1797" i="47"/>
  <c r="C2073" i="47" s="1"/>
  <c r="Q1480" i="47"/>
  <c r="Q1495" i="47" s="1"/>
  <c r="AK1480" i="47"/>
  <c r="AK1495" i="47" s="1"/>
  <c r="E1480" i="47"/>
  <c r="E1495" i="47" s="1"/>
  <c r="AC1480" i="47"/>
  <c r="AC1495" i="47" s="1"/>
  <c r="M1480" i="47"/>
  <c r="M1495" i="47" s="1"/>
  <c r="U1480" i="47"/>
  <c r="U1495" i="47" s="1"/>
  <c r="AG1480" i="47"/>
  <c r="AG1495" i="47" s="1"/>
  <c r="Y1480" i="47"/>
  <c r="Y1495" i="47" s="1"/>
  <c r="I1480" i="47"/>
  <c r="I1495" i="47" s="1"/>
  <c r="D1480" i="47"/>
  <c r="D1495" i="47" s="1"/>
  <c r="G1480" i="47"/>
  <c r="G1495" i="47" s="1"/>
  <c r="AI1480" i="47"/>
  <c r="AI1495" i="47" s="1"/>
  <c r="O1480" i="47"/>
  <c r="O1495" i="47" s="1"/>
  <c r="P1480" i="47"/>
  <c r="P1495" i="47" s="1"/>
  <c r="L1480" i="47"/>
  <c r="L1495" i="47" s="1"/>
  <c r="H1480" i="47"/>
  <c r="H1495" i="47" s="1"/>
  <c r="T1480" i="47"/>
  <c r="T1495" i="47" s="1"/>
  <c r="K1480" i="47"/>
  <c r="K1495" i="47" s="1"/>
  <c r="W1480" i="47"/>
  <c r="W1495" i="47" s="1"/>
  <c r="AF1480" i="47"/>
  <c r="AF1495" i="47" s="1"/>
  <c r="AB1480" i="47"/>
  <c r="AB1495" i="47" s="1"/>
  <c r="X1480" i="47"/>
  <c r="X1495" i="47" s="1"/>
  <c r="AJ1480" i="47"/>
  <c r="AJ1495" i="47" s="1"/>
  <c r="AA1480" i="47"/>
  <c r="AA1495" i="47" s="1"/>
  <c r="C1480" i="47"/>
  <c r="C1495" i="47" s="1"/>
  <c r="S1480" i="47"/>
  <c r="S1495" i="47" s="1"/>
  <c r="AE1480" i="47"/>
  <c r="AE1495" i="47" s="1"/>
  <c r="H1795" i="47"/>
  <c r="H2071" i="47" s="1"/>
  <c r="H1774" i="47"/>
  <c r="H2045" i="47" s="1"/>
  <c r="G1774" i="47"/>
  <c r="G2045" i="47" s="1"/>
  <c r="G1795" i="47"/>
  <c r="G2071" i="47" s="1"/>
  <c r="E1795" i="47"/>
  <c r="E2071" i="47" s="1"/>
  <c r="E1774" i="47"/>
  <c r="E2045" i="47" s="1"/>
  <c r="I1475" i="47"/>
  <c r="I1611" i="47" s="1"/>
  <c r="AG1475" i="47"/>
  <c r="AG1611" i="47" s="1"/>
  <c r="Q1475" i="47"/>
  <c r="Q1611" i="47" s="1"/>
  <c r="AK1475" i="47"/>
  <c r="AK1611" i="47" s="1"/>
  <c r="U1475" i="47"/>
  <c r="U1611" i="47" s="1"/>
  <c r="E1475" i="47"/>
  <c r="E1611" i="47" s="1"/>
  <c r="AC1475" i="47"/>
  <c r="AC1611" i="47" s="1"/>
  <c r="M1475" i="47"/>
  <c r="M1611" i="47" s="1"/>
  <c r="Y1475" i="47"/>
  <c r="Y1611" i="47" s="1"/>
  <c r="W1475" i="47"/>
  <c r="W1611" i="47" s="1"/>
  <c r="C1475" i="47"/>
  <c r="C1611" i="47" s="1"/>
  <c r="D1475" i="47"/>
  <c r="D1611" i="47" s="1"/>
  <c r="H1475" i="47"/>
  <c r="H1611" i="47" s="1"/>
  <c r="K1475" i="47"/>
  <c r="K1611" i="47" s="1"/>
  <c r="T1475" i="47"/>
  <c r="T1611" i="47" s="1"/>
  <c r="P1475" i="47"/>
  <c r="P1611" i="47" s="1"/>
  <c r="L1475" i="47"/>
  <c r="L1611" i="47" s="1"/>
  <c r="X1475" i="47"/>
  <c r="X1611" i="47" s="1"/>
  <c r="O1475" i="47"/>
  <c r="O1611" i="47" s="1"/>
  <c r="AA1475" i="47"/>
  <c r="AA1611" i="47" s="1"/>
  <c r="AJ1475" i="47"/>
  <c r="AJ1611" i="47" s="1"/>
  <c r="AF1475" i="47"/>
  <c r="AF1611" i="47" s="1"/>
  <c r="AB1475" i="47"/>
  <c r="AB1611" i="47" s="1"/>
  <c r="AE1475" i="47"/>
  <c r="AE1611" i="47" s="1"/>
  <c r="G1475" i="47"/>
  <c r="G1611" i="47" s="1"/>
  <c r="C1621" i="47" s="1"/>
  <c r="S1475" i="47"/>
  <c r="S1611" i="47" s="1"/>
  <c r="AI1475" i="47"/>
  <c r="AI1611" i="47" s="1"/>
  <c r="C1816" i="47"/>
  <c r="C2093" i="47" s="1"/>
  <c r="C1779" i="47"/>
  <c r="C2050" i="47" s="1"/>
  <c r="C1800" i="47"/>
  <c r="C2076" i="47" s="1"/>
  <c r="E1779" i="47"/>
  <c r="E2050" i="47" s="1"/>
  <c r="E1800" i="47"/>
  <c r="E2076" i="47" s="1"/>
  <c r="E1816" i="47"/>
  <c r="E2093" i="47" s="1"/>
  <c r="I1781" i="47"/>
  <c r="I2052" i="47" s="1"/>
  <c r="I1802" i="47"/>
  <c r="I2078" i="47" s="1"/>
  <c r="I1818" i="47"/>
  <c r="I2095" i="47" s="1"/>
  <c r="H1781" i="47"/>
  <c r="H2052" i="47" s="1"/>
  <c r="H1802" i="47"/>
  <c r="H2078" i="47" s="1"/>
  <c r="H1818" i="47"/>
  <c r="H2095" i="47" s="1"/>
  <c r="B1780" i="47"/>
  <c r="B2051" i="47" s="1"/>
  <c r="B1801" i="47"/>
  <c r="B2077" i="47" s="1"/>
  <c r="B2845" i="47" s="1"/>
  <c r="B2985" i="47" s="1"/>
  <c r="B3248" i="47" s="1"/>
  <c r="B1817" i="47"/>
  <c r="B2094" i="47" s="1"/>
  <c r="B2865" i="47" s="1"/>
  <c r="B2999" i="47" s="1"/>
  <c r="B3286" i="47" s="1"/>
  <c r="G1776" i="47"/>
  <c r="G2047" i="47" s="1"/>
  <c r="G1797" i="47"/>
  <c r="G2073" i="47" s="1"/>
  <c r="D1797" i="47"/>
  <c r="D2073" i="47" s="1"/>
  <c r="D1776" i="47"/>
  <c r="D2047" i="47" s="1"/>
  <c r="I1797" i="47"/>
  <c r="I2073" i="47" s="1"/>
  <c r="I1776" i="47"/>
  <c r="I2047" i="47" s="1"/>
  <c r="I1795" i="47"/>
  <c r="I2071" i="47" s="1"/>
  <c r="I1774" i="47"/>
  <c r="I2045" i="47" s="1"/>
  <c r="F1774" i="47"/>
  <c r="F2045" i="47" s="1"/>
  <c r="F1795" i="47"/>
  <c r="F2071" i="47" s="1"/>
  <c r="G1779" i="47"/>
  <c r="G2050" i="47" s="1"/>
  <c r="G1800" i="47"/>
  <c r="G2076" i="47" s="1"/>
  <c r="G1816" i="47"/>
  <c r="G2093" i="47" s="1"/>
  <c r="B1779" i="47"/>
  <c r="B2050" i="47" s="1"/>
  <c r="B1800" i="47"/>
  <c r="B2076" i="47" s="1"/>
  <c r="B2844" i="47" s="1"/>
  <c r="B2984" i="47" s="1"/>
  <c r="B3247" i="47" s="1"/>
  <c r="B1816" i="47"/>
  <c r="B2093" i="47" s="1"/>
  <c r="B2864" i="47" s="1"/>
  <c r="B2998" i="47" s="1"/>
  <c r="B3285" i="47" s="1"/>
  <c r="H1816" i="47"/>
  <c r="H2093" i="47" s="1"/>
  <c r="H1779" i="47"/>
  <c r="H2050" i="47" s="1"/>
  <c r="H1800" i="47"/>
  <c r="H2076" i="47" s="1"/>
  <c r="J1818" i="47"/>
  <c r="J2095" i="47" s="1"/>
  <c r="J1802" i="47"/>
  <c r="J2078" i="47" s="1"/>
  <c r="J1781" i="47"/>
  <c r="J2052" i="47" s="1"/>
  <c r="G1781" i="47"/>
  <c r="G2052" i="47" s="1"/>
  <c r="G1818" i="47"/>
  <c r="G2095" i="47" s="1"/>
  <c r="G1802" i="47"/>
  <c r="G2078" i="47" s="1"/>
  <c r="F1802" i="47"/>
  <c r="F2078" i="47" s="1"/>
  <c r="F1781" i="47"/>
  <c r="F2052" i="47" s="1"/>
  <c r="F1818" i="47"/>
  <c r="F2095" i="47" s="1"/>
  <c r="C1801" i="47"/>
  <c r="C2077" i="47" s="1"/>
  <c r="C1817" i="47"/>
  <c r="C2094" i="47" s="1"/>
  <c r="C1780" i="47"/>
  <c r="C2051" i="47" s="1"/>
  <c r="G1801" i="47"/>
  <c r="G2077" i="47" s="1"/>
  <c r="G1780" i="47"/>
  <c r="G2051" i="47" s="1"/>
  <c r="G1817" i="47"/>
  <c r="G2094" i="47" s="1"/>
  <c r="J1776" i="47"/>
  <c r="J2047" i="47" s="1"/>
  <c r="J1797" i="47"/>
  <c r="J2073" i="47" s="1"/>
  <c r="M1472" i="47"/>
  <c r="M1610" i="47" s="1"/>
  <c r="AG1472" i="47"/>
  <c r="AG1610" i="47" s="1"/>
  <c r="Q1472" i="47"/>
  <c r="Q1610" i="47" s="1"/>
  <c r="AK1472" i="47"/>
  <c r="AK1610" i="47" s="1"/>
  <c r="U1472" i="47"/>
  <c r="U1610" i="47" s="1"/>
  <c r="AC1472" i="47"/>
  <c r="AC1610" i="47" s="1"/>
  <c r="I1472" i="47"/>
  <c r="I1610" i="47" s="1"/>
  <c r="E1472" i="47"/>
  <c r="E1610" i="47" s="1"/>
  <c r="Y1472" i="47"/>
  <c r="Y1610" i="47" s="1"/>
  <c r="AF1472" i="47"/>
  <c r="AF1610" i="47" s="1"/>
  <c r="AB1472" i="47"/>
  <c r="AB1610" i="47" s="1"/>
  <c r="X1472" i="47"/>
  <c r="X1610" i="47" s="1"/>
  <c r="AJ1472" i="47"/>
  <c r="AJ1610" i="47" s="1"/>
  <c r="AA1472" i="47"/>
  <c r="AA1610" i="47" s="1"/>
  <c r="C1472" i="47"/>
  <c r="C1610" i="47" s="1"/>
  <c r="S1472" i="47"/>
  <c r="S1610" i="47" s="1"/>
  <c r="D1472" i="47"/>
  <c r="D1610" i="47" s="1"/>
  <c r="G1472" i="47"/>
  <c r="G1610" i="47" s="1"/>
  <c r="AI1472" i="47"/>
  <c r="AI1610" i="47" s="1"/>
  <c r="O1472" i="47"/>
  <c r="O1610" i="47" s="1"/>
  <c r="P1472" i="47"/>
  <c r="P1610" i="47" s="1"/>
  <c r="L1472" i="47"/>
  <c r="L1610" i="47" s="1"/>
  <c r="H1472" i="47"/>
  <c r="H1610" i="47" s="1"/>
  <c r="T1472" i="47"/>
  <c r="T1610" i="47" s="1"/>
  <c r="K1472" i="47"/>
  <c r="K1610" i="47" s="1"/>
  <c r="W1472" i="47"/>
  <c r="W1610" i="47" s="1"/>
  <c r="AE1472" i="47"/>
  <c r="AE1610" i="47" s="1"/>
  <c r="D1774" i="47"/>
  <c r="D2045" i="47" s="1"/>
  <c r="D1795" i="47"/>
  <c r="D2071" i="47" s="1"/>
  <c r="C1795" i="47"/>
  <c r="C2071" i="47" s="1"/>
  <c r="C1774" i="47"/>
  <c r="C2045" i="47" s="1"/>
  <c r="Y1481" i="47"/>
  <c r="Y1496" i="47" s="1"/>
  <c r="M1481" i="47"/>
  <c r="M1496" i="47" s="1"/>
  <c r="AG1481" i="47"/>
  <c r="AG1496" i="47" s="1"/>
  <c r="Q1481" i="47"/>
  <c r="Q1496" i="47" s="1"/>
  <c r="AC1481" i="47"/>
  <c r="AC1496" i="47" s="1"/>
  <c r="I1481" i="47"/>
  <c r="I1496" i="47" s="1"/>
  <c r="E1481" i="47"/>
  <c r="E1496" i="47" s="1"/>
  <c r="AK1481" i="47"/>
  <c r="AK1496" i="47" s="1"/>
  <c r="U1481" i="47"/>
  <c r="U1496" i="47" s="1"/>
  <c r="AB1481" i="47"/>
  <c r="AB1496" i="47" s="1"/>
  <c r="X1481" i="47"/>
  <c r="X1496" i="47" s="1"/>
  <c r="T1481" i="47"/>
  <c r="T1496" i="47" s="1"/>
  <c r="AF1481" i="47"/>
  <c r="AF1496" i="47" s="1"/>
  <c r="W1481" i="47"/>
  <c r="W1496" i="47" s="1"/>
  <c r="AI1481" i="47"/>
  <c r="AI1496" i="47" s="1"/>
  <c r="AJ1481" i="47"/>
  <c r="AJ1496" i="47" s="1"/>
  <c r="C1481" i="47"/>
  <c r="C1496" i="47" s="1"/>
  <c r="AE1481" i="47"/>
  <c r="AE1496" i="47" s="1"/>
  <c r="L1481" i="47"/>
  <c r="L1496" i="47" s="1"/>
  <c r="H1481" i="47"/>
  <c r="H1496" i="47" s="1"/>
  <c r="D1481" i="47"/>
  <c r="D1496" i="47" s="1"/>
  <c r="P1481" i="47"/>
  <c r="P1496" i="47" s="1"/>
  <c r="G1481" i="47"/>
  <c r="G1496" i="47" s="1"/>
  <c r="S1481" i="47"/>
  <c r="S1496" i="47" s="1"/>
  <c r="K1481" i="47"/>
  <c r="K1496" i="47" s="1"/>
  <c r="AA1481" i="47"/>
  <c r="AA1496" i="47" s="1"/>
  <c r="O1481" i="47"/>
  <c r="O1496" i="47" s="1"/>
  <c r="D1779" i="47"/>
  <c r="D2050" i="47" s="1"/>
  <c r="D1800" i="47"/>
  <c r="D2076" i="47" s="1"/>
  <c r="D1816" i="47"/>
  <c r="D2093" i="47" s="1"/>
  <c r="I1816" i="47"/>
  <c r="I2093" i="47" s="1"/>
  <c r="I1800" i="47"/>
  <c r="I2076" i="47" s="1"/>
  <c r="I1779" i="47"/>
  <c r="I2050" i="47" s="1"/>
  <c r="E1781" i="47"/>
  <c r="E2052" i="47" s="1"/>
  <c r="E1802" i="47"/>
  <c r="E2078" i="47" s="1"/>
  <c r="E1818" i="47"/>
  <c r="E2095" i="47" s="1"/>
  <c r="D1781" i="47"/>
  <c r="D2052" i="47" s="1"/>
  <c r="D1802" i="47"/>
  <c r="D2078" i="47" s="1"/>
  <c r="D1818" i="47"/>
  <c r="D2095" i="47" s="1"/>
  <c r="J1801" i="47"/>
  <c r="J2077" i="47" s="1"/>
  <c r="J1817" i="47"/>
  <c r="J2094" i="47" s="1"/>
  <c r="J1780" i="47"/>
  <c r="J2051" i="47" s="1"/>
  <c r="D1817" i="47"/>
  <c r="D2094" i="47" s="1"/>
  <c r="D1801" i="47"/>
  <c r="D2077" i="47" s="1"/>
  <c r="D1780" i="47"/>
  <c r="D2051" i="47" s="1"/>
  <c r="I1817" i="47"/>
  <c r="I2094" i="47" s="1"/>
  <c r="I1780" i="47"/>
  <c r="I2051" i="47" s="1"/>
  <c r="I1801" i="47"/>
  <c r="I2077" i="47" s="1"/>
  <c r="H1780" i="47"/>
  <c r="H2051" i="47" s="1"/>
  <c r="H1817" i="47"/>
  <c r="H2094" i="47" s="1"/>
  <c r="H1801" i="47"/>
  <c r="H2077" i="47" s="1"/>
  <c r="F1797" i="47"/>
  <c r="F2073" i="47" s="1"/>
  <c r="F1776" i="47"/>
  <c r="F2047" i="47" s="1"/>
  <c r="H1797" i="47"/>
  <c r="H2073" i="47" s="1"/>
  <c r="H1776" i="47"/>
  <c r="H2047" i="47" s="1"/>
  <c r="J1774" i="47"/>
  <c r="J2045" i="47" s="1"/>
  <c r="J1795" i="47"/>
  <c r="J2071" i="47" s="1"/>
  <c r="B1774" i="47"/>
  <c r="B2045" i="47" s="1"/>
  <c r="B1795" i="47"/>
  <c r="B2071" i="47" s="1"/>
  <c r="B2839" i="47" s="1"/>
  <c r="B2979" i="47" s="1"/>
  <c r="B3242" i="47" s="1"/>
  <c r="H83" i="37"/>
  <c r="H82" i="37"/>
  <c r="H81" i="37"/>
  <c r="H80" i="37"/>
  <c r="H79" i="37"/>
  <c r="H78" i="37"/>
  <c r="H77" i="37"/>
  <c r="H76" i="37"/>
  <c r="H75" i="37"/>
  <c r="H74" i="37"/>
  <c r="H73" i="37"/>
  <c r="H72" i="37"/>
  <c r="H71" i="37"/>
  <c r="H70" i="37"/>
  <c r="H69" i="37"/>
  <c r="H68" i="37"/>
  <c r="I66" i="37"/>
  <c r="H90" i="37"/>
  <c r="B1564" i="47"/>
  <c r="I83" i="38"/>
  <c r="I82" i="38"/>
  <c r="I81" i="38"/>
  <c r="I80" i="38"/>
  <c r="I79" i="38"/>
  <c r="I78" i="38"/>
  <c r="I77" i="38"/>
  <c r="I76" i="38"/>
  <c r="I75" i="38"/>
  <c r="I74" i="38"/>
  <c r="I73" i="38"/>
  <c r="I72" i="38"/>
  <c r="I71" i="38"/>
  <c r="I70" i="38"/>
  <c r="I69" i="38"/>
  <c r="I68" i="38"/>
  <c r="I90" i="38"/>
  <c r="D1564" i="47"/>
  <c r="C1635" i="47"/>
  <c r="D650" i="47"/>
  <c r="C651" i="47"/>
  <c r="D1573" i="47"/>
  <c r="E1573" i="47"/>
  <c r="B1573" i="47"/>
  <c r="F1573" i="47"/>
  <c r="J1573" i="47"/>
  <c r="H83" i="34"/>
  <c r="H82" i="34"/>
  <c r="H81" i="34"/>
  <c r="H80" i="34"/>
  <c r="H79" i="34"/>
  <c r="H78" i="34"/>
  <c r="H77" i="34"/>
  <c r="H76" i="34"/>
  <c r="H75" i="34"/>
  <c r="H74" i="34"/>
  <c r="H73" i="34"/>
  <c r="H72" i="34"/>
  <c r="H71" i="34"/>
  <c r="H70" i="34"/>
  <c r="H69" i="34"/>
  <c r="H68" i="34"/>
  <c r="I66" i="34"/>
  <c r="H90" i="34"/>
  <c r="H83" i="35"/>
  <c r="H82" i="35"/>
  <c r="H81" i="35"/>
  <c r="H80" i="35"/>
  <c r="H79" i="35"/>
  <c r="H78" i="35"/>
  <c r="H77" i="35"/>
  <c r="H76" i="35"/>
  <c r="H75" i="35"/>
  <c r="H74" i="35"/>
  <c r="H73" i="35"/>
  <c r="H72" i="35"/>
  <c r="H71" i="35"/>
  <c r="H70" i="35"/>
  <c r="H69" i="35"/>
  <c r="H68" i="35"/>
  <c r="I66" i="35"/>
  <c r="H90" i="35"/>
  <c r="I83" i="36"/>
  <c r="I82" i="36"/>
  <c r="I81" i="36"/>
  <c r="I80" i="36"/>
  <c r="I79" i="36"/>
  <c r="I78" i="36"/>
  <c r="I77" i="36"/>
  <c r="I76" i="36"/>
  <c r="I75" i="36"/>
  <c r="I74" i="36"/>
  <c r="I73" i="36"/>
  <c r="I72" i="36"/>
  <c r="I71" i="36"/>
  <c r="I70" i="36"/>
  <c r="I69" i="36"/>
  <c r="I68" i="36"/>
  <c r="I90" i="36"/>
  <c r="D147" i="35"/>
  <c r="E147" i="35"/>
  <c r="F147" i="35"/>
  <c r="G147" i="35"/>
  <c r="B147" i="35"/>
  <c r="C147" i="35"/>
  <c r="C147" i="36"/>
  <c r="G147" i="36"/>
  <c r="E147" i="36"/>
  <c r="C147" i="37"/>
  <c r="G147" i="37"/>
  <c r="B147" i="36"/>
  <c r="D147" i="37"/>
  <c r="D147" i="36"/>
  <c r="F147" i="36"/>
  <c r="B147" i="37"/>
  <c r="F147" i="37"/>
  <c r="B147" i="38"/>
  <c r="F147" i="38"/>
  <c r="E147" i="37"/>
  <c r="C147" i="38"/>
  <c r="G147" i="38"/>
  <c r="E147" i="34"/>
  <c r="D147" i="38"/>
  <c r="C147" i="34"/>
  <c r="G147" i="34"/>
  <c r="E147" i="38"/>
  <c r="D147" i="34"/>
  <c r="B147" i="34"/>
  <c r="F147" i="34"/>
  <c r="B113" i="41"/>
  <c r="H1573" i="47" l="1"/>
  <c r="I1573" i="47"/>
  <c r="C1573" i="47"/>
  <c r="G1573" i="47"/>
  <c r="B3081" i="47"/>
  <c r="B3074" i="47"/>
  <c r="F1673" i="47"/>
  <c r="B3076" i="47"/>
  <c r="B3080" i="47"/>
  <c r="B3078" i="47"/>
  <c r="B1672" i="47"/>
  <c r="E1672" i="47"/>
  <c r="Y1999" i="47"/>
  <c r="J1621" i="47"/>
  <c r="J1635" i="47" s="1"/>
  <c r="E1621" i="47"/>
  <c r="E1635" i="47" s="1"/>
  <c r="H1672" i="47"/>
  <c r="C1999" i="47"/>
  <c r="S1999" i="47"/>
  <c r="M1999" i="47"/>
  <c r="I1620" i="47"/>
  <c r="I1634" i="47" s="1"/>
  <c r="X1999" i="47"/>
  <c r="G2011" i="47" s="1"/>
  <c r="G2056" i="47" s="1"/>
  <c r="AE1999" i="47"/>
  <c r="D1673" i="47"/>
  <c r="E1620" i="47"/>
  <c r="E1634" i="47" s="1"/>
  <c r="E1644" i="47" s="1"/>
  <c r="E1689" i="47" s="1"/>
  <c r="F1621" i="47"/>
  <c r="F1635" i="47" s="1"/>
  <c r="D1621" i="47"/>
  <c r="D1635" i="47" s="1"/>
  <c r="G1672" i="47"/>
  <c r="D1999" i="47"/>
  <c r="E1999" i="47"/>
  <c r="O1999" i="47"/>
  <c r="AB1999" i="47"/>
  <c r="Q1999" i="47"/>
  <c r="AI1999" i="47"/>
  <c r="J2030" i="47" s="1"/>
  <c r="J2096" i="47" s="1"/>
  <c r="G1999" i="47"/>
  <c r="J1620" i="47"/>
  <c r="J1634" i="47" s="1"/>
  <c r="J1644" i="47" s="1"/>
  <c r="F1672" i="47"/>
  <c r="AF1999" i="47"/>
  <c r="T1999" i="47"/>
  <c r="U1999" i="47"/>
  <c r="F2011" i="47" s="1"/>
  <c r="F2056" i="47" s="1"/>
  <c r="H1999" i="47"/>
  <c r="I1999" i="47"/>
  <c r="AK1999" i="47"/>
  <c r="AA1999" i="47"/>
  <c r="H2009" i="47" s="1"/>
  <c r="H2054" i="47" s="1"/>
  <c r="E1673" i="47"/>
  <c r="P1999" i="47"/>
  <c r="L1999" i="47"/>
  <c r="AG1999" i="47"/>
  <c r="I2011" i="47" s="1"/>
  <c r="I2056" i="47" s="1"/>
  <c r="AC1999" i="47"/>
  <c r="AJ1999" i="47"/>
  <c r="K1999" i="47"/>
  <c r="D2009" i="47" s="1"/>
  <c r="D2054" i="47" s="1"/>
  <c r="F2136" i="47"/>
  <c r="F2215" i="47" s="1"/>
  <c r="F2384" i="47" s="1"/>
  <c r="H2154" i="47"/>
  <c r="H2219" i="47" s="1"/>
  <c r="H2388" i="47" s="1"/>
  <c r="D2154" i="47"/>
  <c r="D2219" i="47" s="1"/>
  <c r="D2388" i="47" s="1"/>
  <c r="D2155" i="47"/>
  <c r="D2220" i="47" s="1"/>
  <c r="D2389" i="47" s="1"/>
  <c r="I2153" i="47"/>
  <c r="I2218" i="47" s="1"/>
  <c r="I2387" i="47" s="1"/>
  <c r="B1673" i="47"/>
  <c r="D2134" i="47"/>
  <c r="D2213" i="47" s="1"/>
  <c r="D2382" i="47" s="1"/>
  <c r="F1620" i="47"/>
  <c r="F1634" i="47" s="1"/>
  <c r="I2134" i="47"/>
  <c r="I2213" i="47" s="1"/>
  <c r="I2382" i="47" s="1"/>
  <c r="D2136" i="47"/>
  <c r="D2215" i="47" s="1"/>
  <c r="D2384" i="47" s="1"/>
  <c r="I2155" i="47"/>
  <c r="I2220" i="47" s="1"/>
  <c r="I2389" i="47" s="1"/>
  <c r="G1621" i="47"/>
  <c r="G1635" i="47" s="1"/>
  <c r="J1672" i="47"/>
  <c r="J2134" i="47"/>
  <c r="J2213" i="47" s="1"/>
  <c r="J2382" i="47" s="1"/>
  <c r="D2153" i="47"/>
  <c r="D2218" i="47" s="1"/>
  <c r="D2387" i="47" s="1"/>
  <c r="C2134" i="47"/>
  <c r="C2213" i="47" s="1"/>
  <c r="C2382" i="47" s="1"/>
  <c r="B1620" i="47"/>
  <c r="B1634" i="47" s="1"/>
  <c r="B1644" i="47" s="1"/>
  <c r="J2136" i="47"/>
  <c r="J2215" i="47" s="1"/>
  <c r="J2384" i="47" s="1"/>
  <c r="C2154" i="47"/>
  <c r="C2219" i="47" s="1"/>
  <c r="C2388" i="47" s="1"/>
  <c r="F2155" i="47"/>
  <c r="F2220" i="47" s="1"/>
  <c r="F2389" i="47" s="1"/>
  <c r="G2155" i="47"/>
  <c r="G2220" i="47" s="1"/>
  <c r="G2389" i="47" s="1"/>
  <c r="G2153" i="47"/>
  <c r="G2218" i="47" s="1"/>
  <c r="G2387" i="47" s="1"/>
  <c r="H2155" i="47"/>
  <c r="H2220" i="47" s="1"/>
  <c r="H2389" i="47" s="1"/>
  <c r="C2153" i="47"/>
  <c r="C2218" i="47" s="1"/>
  <c r="C2387" i="47" s="1"/>
  <c r="I1672" i="47"/>
  <c r="C1672" i="47"/>
  <c r="C2136" i="47"/>
  <c r="C2215" i="47" s="1"/>
  <c r="C2384" i="47" s="1"/>
  <c r="B2812" i="47"/>
  <c r="B2958" i="47" s="1"/>
  <c r="B3206" i="47" s="1"/>
  <c r="B2136" i="47"/>
  <c r="B2215" i="47" s="1"/>
  <c r="B2384" i="47" s="1"/>
  <c r="B2155" i="47"/>
  <c r="B2220" i="47" s="1"/>
  <c r="B2389" i="47" s="1"/>
  <c r="B2817" i="47"/>
  <c r="B2963" i="47" s="1"/>
  <c r="B3211" i="47" s="1"/>
  <c r="J2153" i="47"/>
  <c r="J2218" i="47" s="1"/>
  <c r="J2387" i="47" s="1"/>
  <c r="E2012" i="47"/>
  <c r="E2057" i="47" s="1"/>
  <c r="H2136" i="47"/>
  <c r="H2215" i="47" s="1"/>
  <c r="H2384" i="47" s="1"/>
  <c r="I2154" i="47"/>
  <c r="I2219" i="47" s="1"/>
  <c r="I2388" i="47" s="1"/>
  <c r="C1673" i="47"/>
  <c r="J1673" i="47"/>
  <c r="G1620" i="47"/>
  <c r="G1634" i="47" s="1"/>
  <c r="G1644" i="47" s="1"/>
  <c r="C1620" i="47"/>
  <c r="C1634" i="47" s="1"/>
  <c r="C1644" i="47" s="1"/>
  <c r="H1620" i="47"/>
  <c r="H1634" i="47" s="1"/>
  <c r="H1644" i="47" s="1"/>
  <c r="H1689" i="47" s="1"/>
  <c r="J2155" i="47"/>
  <c r="J2220" i="47" s="1"/>
  <c r="J2389" i="47" s="1"/>
  <c r="H2153" i="47"/>
  <c r="H2218" i="47" s="1"/>
  <c r="H2387" i="47" s="1"/>
  <c r="B2815" i="47"/>
  <c r="B2961" i="47" s="1"/>
  <c r="B3209" i="47" s="1"/>
  <c r="B2153" i="47"/>
  <c r="B2218" i="47" s="1"/>
  <c r="B2387" i="47" s="1"/>
  <c r="I2136" i="47"/>
  <c r="I2215" i="47" s="1"/>
  <c r="I2384" i="47" s="1"/>
  <c r="B2816" i="47"/>
  <c r="B2962" i="47" s="1"/>
  <c r="B3210" i="47" s="1"/>
  <c r="B2154" i="47"/>
  <c r="B2219" i="47" s="1"/>
  <c r="B2388" i="47" s="1"/>
  <c r="I1621" i="47"/>
  <c r="I1635" i="47" s="1"/>
  <c r="H1621" i="47"/>
  <c r="H1635" i="47" s="1"/>
  <c r="G2134" i="47"/>
  <c r="G2213" i="47" s="1"/>
  <c r="G2382" i="47" s="1"/>
  <c r="D1672" i="47"/>
  <c r="C2155" i="47"/>
  <c r="C2220" i="47" s="1"/>
  <c r="C2389" i="47" s="1"/>
  <c r="F2153" i="47"/>
  <c r="F2218" i="47" s="1"/>
  <c r="F2387" i="47" s="1"/>
  <c r="H2021" i="47"/>
  <c r="H2079" i="47" s="1"/>
  <c r="B2810" i="47"/>
  <c r="B2956" i="47" s="1"/>
  <c r="B3204" i="47" s="1"/>
  <c r="B2134" i="47"/>
  <c r="B2213" i="47" s="1"/>
  <c r="B2382" i="47" s="1"/>
  <c r="J2154" i="47"/>
  <c r="J2219" i="47" s="1"/>
  <c r="J2388" i="47" s="1"/>
  <c r="E2155" i="47"/>
  <c r="E2220" i="47" s="1"/>
  <c r="E2389" i="47" s="1"/>
  <c r="H1673" i="47"/>
  <c r="I1673" i="47"/>
  <c r="G1673" i="47"/>
  <c r="D1620" i="47"/>
  <c r="D1634" i="47" s="1"/>
  <c r="D1644" i="47" s="1"/>
  <c r="G2154" i="47"/>
  <c r="G2219" i="47" s="1"/>
  <c r="G2388" i="47" s="1"/>
  <c r="F2134" i="47"/>
  <c r="F2213" i="47" s="1"/>
  <c r="F2382" i="47" s="1"/>
  <c r="G2136" i="47"/>
  <c r="G2215" i="47" s="1"/>
  <c r="G2384" i="47" s="1"/>
  <c r="E2153" i="47"/>
  <c r="E2218" i="47" s="1"/>
  <c r="E2387" i="47" s="1"/>
  <c r="B1621" i="47"/>
  <c r="B1635" i="47" s="1"/>
  <c r="E2134" i="47"/>
  <c r="E2213" i="47" s="1"/>
  <c r="E2382" i="47" s="1"/>
  <c r="H2134" i="47"/>
  <c r="H2213" i="47" s="1"/>
  <c r="H2382" i="47" s="1"/>
  <c r="E2136" i="47"/>
  <c r="E2215" i="47" s="1"/>
  <c r="E2384" i="47" s="1"/>
  <c r="E2154" i="47"/>
  <c r="E2219" i="47" s="1"/>
  <c r="E2388" i="47" s="1"/>
  <c r="F2154" i="47"/>
  <c r="F2219" i="47" s="1"/>
  <c r="F2388" i="47" s="1"/>
  <c r="D2010" i="47"/>
  <c r="D2055" i="47" s="1"/>
  <c r="G2009" i="47"/>
  <c r="G2054" i="47" s="1"/>
  <c r="G2010" i="47"/>
  <c r="G2055" i="47" s="1"/>
  <c r="G2012" i="47"/>
  <c r="G2057" i="47" s="1"/>
  <c r="G2008" i="47"/>
  <c r="G2053" i="47" s="1"/>
  <c r="I83" i="35"/>
  <c r="I82" i="35"/>
  <c r="I81" i="35"/>
  <c r="I80" i="35"/>
  <c r="I79" i="35"/>
  <c r="I78" i="35"/>
  <c r="I77" i="35"/>
  <c r="I76" i="35"/>
  <c r="I75" i="35"/>
  <c r="I74" i="35"/>
  <c r="I73" i="35"/>
  <c r="I72" i="35"/>
  <c r="I71" i="35"/>
  <c r="I70" i="35"/>
  <c r="I69" i="35"/>
  <c r="I68" i="35"/>
  <c r="I90" i="35"/>
  <c r="C1574" i="47"/>
  <c r="C1645" i="47" s="1"/>
  <c r="G1574" i="47"/>
  <c r="G1645" i="47" s="1"/>
  <c r="D1574" i="47"/>
  <c r="D1645" i="47" s="1"/>
  <c r="H1574" i="47"/>
  <c r="E1574" i="47"/>
  <c r="I1574" i="47"/>
  <c r="B1574" i="47"/>
  <c r="B1645" i="47" s="1"/>
  <c r="J1574" i="47"/>
  <c r="J1645" i="47" s="1"/>
  <c r="F1574" i="47"/>
  <c r="I83" i="37"/>
  <c r="I82" i="37"/>
  <c r="I81" i="37"/>
  <c r="I80" i="37"/>
  <c r="I79" i="37"/>
  <c r="I78" i="37"/>
  <c r="I77" i="37"/>
  <c r="I76" i="37"/>
  <c r="I75" i="37"/>
  <c r="I74" i="37"/>
  <c r="I73" i="37"/>
  <c r="I72" i="37"/>
  <c r="I71" i="37"/>
  <c r="I70" i="37"/>
  <c r="I69" i="37"/>
  <c r="I68" i="37"/>
  <c r="I90" i="37"/>
  <c r="F1644" i="47"/>
  <c r="B148" i="35"/>
  <c r="F148" i="35"/>
  <c r="C148" i="35"/>
  <c r="G148" i="35"/>
  <c r="E148" i="35"/>
  <c r="E148" i="36"/>
  <c r="D148" i="35"/>
  <c r="C148" i="36"/>
  <c r="G148" i="36"/>
  <c r="B148" i="36"/>
  <c r="E148" i="37"/>
  <c r="D148" i="36"/>
  <c r="B148" i="37"/>
  <c r="F148" i="37"/>
  <c r="F148" i="36"/>
  <c r="D148" i="37"/>
  <c r="C148" i="37"/>
  <c r="G148" i="37"/>
  <c r="D148" i="38"/>
  <c r="E148" i="38"/>
  <c r="B148" i="38"/>
  <c r="C148" i="34"/>
  <c r="G148" i="34"/>
  <c r="C148" i="38"/>
  <c r="F148" i="38"/>
  <c r="E148" i="34"/>
  <c r="G148" i="38"/>
  <c r="B148" i="34"/>
  <c r="F148" i="34"/>
  <c r="B114" i="41"/>
  <c r="D148" i="34"/>
  <c r="I83" i="34"/>
  <c r="I82" i="34"/>
  <c r="I81" i="34"/>
  <c r="I80" i="34"/>
  <c r="I79" i="34"/>
  <c r="I78" i="34"/>
  <c r="I77" i="34"/>
  <c r="I76" i="34"/>
  <c r="I75" i="34"/>
  <c r="I74" i="34"/>
  <c r="I73" i="34"/>
  <c r="I72" i="34"/>
  <c r="I71" i="34"/>
  <c r="I70" i="34"/>
  <c r="I69" i="34"/>
  <c r="I68" i="34"/>
  <c r="I90" i="34"/>
  <c r="D651" i="47"/>
  <c r="B2432" i="47" s="1"/>
  <c r="B2449" i="47" s="1"/>
  <c r="B2882" i="47" s="1"/>
  <c r="C652" i="47"/>
  <c r="B683" i="47" s="1"/>
  <c r="B682" i="47"/>
  <c r="F1645" i="47" l="1"/>
  <c r="F1690" i="47" s="1"/>
  <c r="E1645" i="47"/>
  <c r="E1690" i="47" s="1"/>
  <c r="C1690" i="47"/>
  <c r="G2030" i="47"/>
  <c r="G2096" i="47" s="1"/>
  <c r="I1644" i="47"/>
  <c r="D2021" i="47"/>
  <c r="D2079" i="47" s="1"/>
  <c r="I1645" i="47"/>
  <c r="D1690" i="47"/>
  <c r="D2008" i="47"/>
  <c r="D2053" i="47" s="1"/>
  <c r="G1690" i="47"/>
  <c r="Y1700" i="47" s="1"/>
  <c r="Y1746" i="47" s="1"/>
  <c r="D2030" i="47"/>
  <c r="D2096" i="47" s="1"/>
  <c r="H2010" i="47"/>
  <c r="H2055" i="47" s="1"/>
  <c r="C2011" i="47"/>
  <c r="C2056" i="47" s="1"/>
  <c r="E2011" i="47"/>
  <c r="E2056" i="47" s="1"/>
  <c r="E2119" i="47" s="1"/>
  <c r="E2224" i="47" s="1"/>
  <c r="E2393" i="47" s="1"/>
  <c r="B2021" i="47"/>
  <c r="B2079" i="47" s="1"/>
  <c r="B2847" i="47" s="1"/>
  <c r="D2011" i="47"/>
  <c r="D2056" i="47" s="1"/>
  <c r="G1689" i="47"/>
  <c r="W1709" i="47" s="1"/>
  <c r="W1744" i="47" s="1"/>
  <c r="J2012" i="47"/>
  <c r="J2057" i="47" s="1"/>
  <c r="H2008" i="47"/>
  <c r="H2053" i="47" s="1"/>
  <c r="H2116" i="47" s="1"/>
  <c r="H2221" i="47" s="1"/>
  <c r="H2390" i="47" s="1"/>
  <c r="G2021" i="47"/>
  <c r="G2079" i="47" s="1"/>
  <c r="G2156" i="47" s="1"/>
  <c r="G2225" i="47" s="1"/>
  <c r="G2394" i="47" s="1"/>
  <c r="D2012" i="47"/>
  <c r="D2057" i="47" s="1"/>
  <c r="D2156" i="47" s="1"/>
  <c r="D2225" i="47" s="1"/>
  <c r="D2394" i="47" s="1"/>
  <c r="H2030" i="47"/>
  <c r="H2096" i="47" s="1"/>
  <c r="Y1709" i="47"/>
  <c r="Y1744" i="47" s="1"/>
  <c r="W1699" i="47"/>
  <c r="W1743" i="47" s="1"/>
  <c r="H2012" i="47"/>
  <c r="H2057" i="47" s="1"/>
  <c r="B2009" i="47"/>
  <c r="B2054" i="47" s="1"/>
  <c r="B2117" i="47" s="1"/>
  <c r="B2222" i="47" s="1"/>
  <c r="B2391" i="47" s="1"/>
  <c r="F1689" i="47"/>
  <c r="B1690" i="47"/>
  <c r="E1710" i="47" s="1"/>
  <c r="E1747" i="47" s="1"/>
  <c r="W1719" i="47"/>
  <c r="W1745" i="47" s="1"/>
  <c r="I1689" i="47"/>
  <c r="AG1699" i="47" s="1"/>
  <c r="AG1743" i="47" s="1"/>
  <c r="F2030" i="47"/>
  <c r="F2096" i="47" s="1"/>
  <c r="H2011" i="47"/>
  <c r="H2056" i="47" s="1"/>
  <c r="H2119" i="47" s="1"/>
  <c r="H2224" i="47" s="1"/>
  <c r="H2393" i="47" s="1"/>
  <c r="F2009" i="47"/>
  <c r="F2054" i="47" s="1"/>
  <c r="F2117" i="47" s="1"/>
  <c r="F2222" i="47" s="1"/>
  <c r="F2391" i="47" s="1"/>
  <c r="F2008" i="47"/>
  <c r="F2053" i="47" s="1"/>
  <c r="F2116" i="47" s="1"/>
  <c r="F2221" i="47" s="1"/>
  <c r="F2390" i="47" s="1"/>
  <c r="D1689" i="47"/>
  <c r="M1699" i="47" s="1"/>
  <c r="M1743" i="47" s="1"/>
  <c r="B1689" i="47"/>
  <c r="F2010" i="47"/>
  <c r="F2055" i="47" s="1"/>
  <c r="F2118" i="47" s="1"/>
  <c r="F2223" i="47" s="1"/>
  <c r="F2392" i="47" s="1"/>
  <c r="F2021" i="47"/>
  <c r="F2079" i="47" s="1"/>
  <c r="E2009" i="47"/>
  <c r="E2054" i="47" s="1"/>
  <c r="E2117" i="47" s="1"/>
  <c r="E2222" i="47" s="1"/>
  <c r="E2391" i="47" s="1"/>
  <c r="I1690" i="47"/>
  <c r="F2012" i="47"/>
  <c r="F2057" i="47" s="1"/>
  <c r="C2009" i="47"/>
  <c r="C2054" i="47" s="1"/>
  <c r="C2117" i="47" s="1"/>
  <c r="C2222" i="47" s="1"/>
  <c r="C2391" i="47" s="1"/>
  <c r="I2010" i="47"/>
  <c r="I2055" i="47" s="1"/>
  <c r="B2008" i="47"/>
  <c r="B2053" i="47" s="1"/>
  <c r="J1689" i="47"/>
  <c r="AK1699" i="47" s="1"/>
  <c r="AK1743" i="47" s="1"/>
  <c r="J2021" i="47"/>
  <c r="J2079" i="47" s="1"/>
  <c r="P1699" i="47"/>
  <c r="P1743" i="47" s="1"/>
  <c r="O1699" i="47"/>
  <c r="O1743" i="47" s="1"/>
  <c r="P1709" i="47"/>
  <c r="P1744" i="47" s="1"/>
  <c r="Q1719" i="47"/>
  <c r="Q1745" i="47" s="1"/>
  <c r="Q1730" i="47"/>
  <c r="Q1752" i="47" s="1"/>
  <c r="O1719" i="47"/>
  <c r="O1745" i="47" s="1"/>
  <c r="Q1699" i="47"/>
  <c r="Q1743" i="47" s="1"/>
  <c r="P1719" i="47"/>
  <c r="P1745" i="47" s="1"/>
  <c r="O1709" i="47"/>
  <c r="O1744" i="47" s="1"/>
  <c r="E1769" i="47" s="1"/>
  <c r="E2040" i="47" s="1"/>
  <c r="Q1709" i="47"/>
  <c r="Q1744" i="47" s="1"/>
  <c r="P1730" i="47"/>
  <c r="P1752" i="47" s="1"/>
  <c r="O1730" i="47"/>
  <c r="O1752" i="47" s="1"/>
  <c r="J1690" i="47"/>
  <c r="AK1720" i="47" s="1"/>
  <c r="AK1748" i="47" s="1"/>
  <c r="H1645" i="47"/>
  <c r="H1690" i="47" s="1"/>
  <c r="AC1720" i="47" s="1"/>
  <c r="AC1748" i="47" s="1"/>
  <c r="AE1730" i="47"/>
  <c r="AE1752" i="47" s="1"/>
  <c r="C2021" i="47"/>
  <c r="C2079" i="47" s="1"/>
  <c r="C2030" i="47"/>
  <c r="C2096" i="47" s="1"/>
  <c r="J2011" i="47"/>
  <c r="J2056" i="47" s="1"/>
  <c r="J2119" i="47" s="1"/>
  <c r="J2224" i="47" s="1"/>
  <c r="J2393" i="47" s="1"/>
  <c r="J2009" i="47"/>
  <c r="J2054" i="47" s="1"/>
  <c r="J2117" i="47" s="1"/>
  <c r="J2222" i="47" s="1"/>
  <c r="J2391" i="47" s="1"/>
  <c r="E2021" i="47"/>
  <c r="E2079" i="47" s="1"/>
  <c r="E2010" i="47"/>
  <c r="E2055" i="47" s="1"/>
  <c r="E2118" i="47" s="1"/>
  <c r="E2223" i="47" s="1"/>
  <c r="E2392" i="47" s="1"/>
  <c r="I2030" i="47"/>
  <c r="I2096" i="47" s="1"/>
  <c r="I2021" i="47"/>
  <c r="I2079" i="47" s="1"/>
  <c r="B2010" i="47"/>
  <c r="B2055" i="47" s="1"/>
  <c r="B2820" i="47" s="1"/>
  <c r="B2030" i="47"/>
  <c r="B2096" i="47" s="1"/>
  <c r="B2867" i="47" s="1"/>
  <c r="B3292" i="47" s="1"/>
  <c r="C1689" i="47"/>
  <c r="I1719" i="47" s="1"/>
  <c r="I1745" i="47" s="1"/>
  <c r="C2008" i="47"/>
  <c r="C2053" i="47" s="1"/>
  <c r="C2010" i="47"/>
  <c r="C2055" i="47" s="1"/>
  <c r="C2118" i="47" s="1"/>
  <c r="C2223" i="47" s="1"/>
  <c r="C2392" i="47" s="1"/>
  <c r="J2008" i="47"/>
  <c r="J2053" i="47" s="1"/>
  <c r="J2116" i="47" s="1"/>
  <c r="J2221" i="47" s="1"/>
  <c r="J2390" i="47" s="1"/>
  <c r="J2010" i="47"/>
  <c r="J2055" i="47" s="1"/>
  <c r="J2118" i="47" s="1"/>
  <c r="J2223" i="47" s="1"/>
  <c r="J2392" i="47" s="1"/>
  <c r="E2008" i="47"/>
  <c r="E2053" i="47" s="1"/>
  <c r="E2116" i="47" s="1"/>
  <c r="E2221" i="47" s="1"/>
  <c r="E2390" i="47" s="1"/>
  <c r="I2009" i="47"/>
  <c r="I2054" i="47" s="1"/>
  <c r="I2117" i="47" s="1"/>
  <c r="I2222" i="47" s="1"/>
  <c r="I2391" i="47" s="1"/>
  <c r="I2012" i="47"/>
  <c r="I2057" i="47" s="1"/>
  <c r="B2012" i="47"/>
  <c r="B2057" i="47" s="1"/>
  <c r="B2822" i="47" s="1"/>
  <c r="B2011" i="47"/>
  <c r="B2056" i="47" s="1"/>
  <c r="B2119" i="47" s="1"/>
  <c r="B2224" i="47" s="1"/>
  <c r="B2393" i="47" s="1"/>
  <c r="AG1730" i="47"/>
  <c r="AG1752" i="47" s="1"/>
  <c r="C2012" i="47"/>
  <c r="C2057" i="47" s="1"/>
  <c r="E2030" i="47"/>
  <c r="E2096" i="47" s="1"/>
  <c r="I2008" i="47"/>
  <c r="I2053" i="47" s="1"/>
  <c r="I1730" i="47"/>
  <c r="I1752" i="47" s="1"/>
  <c r="H1730" i="47"/>
  <c r="H1752" i="47" s="1"/>
  <c r="D2118" i="47"/>
  <c r="D2223" i="47" s="1"/>
  <c r="D2392" i="47" s="1"/>
  <c r="C2116" i="47"/>
  <c r="C2221" i="47" s="1"/>
  <c r="C2390" i="47" s="1"/>
  <c r="I2119" i="47"/>
  <c r="I2224" i="47" s="1"/>
  <c r="I2393" i="47" s="1"/>
  <c r="B2819" i="47"/>
  <c r="B3254" i="47"/>
  <c r="B2987" i="47"/>
  <c r="G2119" i="47"/>
  <c r="G2224" i="47" s="1"/>
  <c r="G2393" i="47" s="1"/>
  <c r="B711" i="47"/>
  <c r="B715" i="47"/>
  <c r="B716" i="47"/>
  <c r="B713" i="47"/>
  <c r="B714" i="47"/>
  <c r="B712" i="47"/>
  <c r="B710" i="47"/>
  <c r="B717" i="47"/>
  <c r="G2116" i="47"/>
  <c r="G2221" i="47" s="1"/>
  <c r="G2390" i="47" s="1"/>
  <c r="G2118" i="47"/>
  <c r="G2223" i="47" s="1"/>
  <c r="G2392" i="47" s="1"/>
  <c r="D2119" i="47"/>
  <c r="D2224" i="47" s="1"/>
  <c r="D2393" i="47" s="1"/>
  <c r="D2117" i="47"/>
  <c r="D2222" i="47" s="1"/>
  <c r="D2391" i="47" s="1"/>
  <c r="H2118" i="47"/>
  <c r="H2223" i="47" s="1"/>
  <c r="H2392" i="47" s="1"/>
  <c r="C2119" i="47"/>
  <c r="C2224" i="47" s="1"/>
  <c r="C2393" i="47" s="1"/>
  <c r="B2821" i="47"/>
  <c r="F2119" i="47"/>
  <c r="F2224" i="47" s="1"/>
  <c r="F2393" i="47" s="1"/>
  <c r="G2117" i="47"/>
  <c r="G2222" i="47" s="1"/>
  <c r="G2391" i="47" s="1"/>
  <c r="D2116" i="47"/>
  <c r="D2221" i="47" s="1"/>
  <c r="D2390" i="47" s="1"/>
  <c r="H2156" i="47"/>
  <c r="H2225" i="47" s="1"/>
  <c r="H2394" i="47" s="1"/>
  <c r="H2117" i="47"/>
  <c r="H2222" i="47" s="1"/>
  <c r="H2391" i="47" s="1"/>
  <c r="I2116" i="47"/>
  <c r="I2221" i="47" s="1"/>
  <c r="I2390" i="47" s="1"/>
  <c r="I2118" i="47"/>
  <c r="I2223" i="47" s="1"/>
  <c r="I2392" i="47" s="1"/>
  <c r="B2818" i="47"/>
  <c r="B2116" i="47"/>
  <c r="B2221" i="47" s="1"/>
  <c r="B2390" i="47" s="1"/>
  <c r="Q1720" i="47"/>
  <c r="Q1748" i="47" s="1"/>
  <c r="Q1710" i="47"/>
  <c r="Q1747" i="47" s="1"/>
  <c r="Q1731" i="47"/>
  <c r="Q1753" i="47" s="1"/>
  <c r="Q1700" i="47"/>
  <c r="Q1746" i="47" s="1"/>
  <c r="P1700" i="47"/>
  <c r="P1746" i="47" s="1"/>
  <c r="O1700" i="47"/>
  <c r="O1746" i="47" s="1"/>
  <c r="P1731" i="47"/>
  <c r="P1753" i="47" s="1"/>
  <c r="P1710" i="47"/>
  <c r="P1747" i="47" s="1"/>
  <c r="P1720" i="47"/>
  <c r="P1748" i="47" s="1"/>
  <c r="O1731" i="47"/>
  <c r="O1753" i="47" s="1"/>
  <c r="O1720" i="47"/>
  <c r="O1748" i="47" s="1"/>
  <c r="O1710" i="47"/>
  <c r="O1747" i="47" s="1"/>
  <c r="AC1700" i="47"/>
  <c r="AC1746" i="47" s="1"/>
  <c r="AC1731" i="47"/>
  <c r="AC1753" i="47" s="1"/>
  <c r="AB1700" i="47"/>
  <c r="AB1746" i="47" s="1"/>
  <c r="AA1700" i="47"/>
  <c r="AA1746" i="47" s="1"/>
  <c r="AB1731" i="47"/>
  <c r="AB1753" i="47" s="1"/>
  <c r="AA1720" i="47"/>
  <c r="AA1748" i="47" s="1"/>
  <c r="AB1710" i="47"/>
  <c r="AB1747" i="47" s="1"/>
  <c r="AA1731" i="47"/>
  <c r="AA1753" i="47" s="1"/>
  <c r="AB1720" i="47"/>
  <c r="AB1748" i="47" s="1"/>
  <c r="B2897" i="47"/>
  <c r="B3092" i="47" s="1"/>
  <c r="B3313" i="47" s="1"/>
  <c r="B2899" i="47"/>
  <c r="B3093" i="47" s="1"/>
  <c r="B3315" i="47" s="1"/>
  <c r="B2901" i="47"/>
  <c r="B2903" i="47"/>
  <c r="B3096" i="47" s="1"/>
  <c r="B3319" i="47" s="1"/>
  <c r="B2905" i="47"/>
  <c r="B3098" i="47" s="1"/>
  <c r="B3321" i="47" s="1"/>
  <c r="B2907" i="47"/>
  <c r="B3357" i="47" s="1"/>
  <c r="B2909" i="47"/>
  <c r="B3359" i="47" s="1"/>
  <c r="B2911" i="47"/>
  <c r="B2913" i="47"/>
  <c r="B2896" i="47"/>
  <c r="B3091" i="47" s="1"/>
  <c r="B3312" i="47" s="1"/>
  <c r="B2898" i="47"/>
  <c r="B2900" i="47"/>
  <c r="B3094" i="47" s="1"/>
  <c r="B3316" i="47" s="1"/>
  <c r="B2902" i="47"/>
  <c r="B3095" i="47" s="1"/>
  <c r="B3318" i="47" s="1"/>
  <c r="B2904" i="47"/>
  <c r="B3097" i="47" s="1"/>
  <c r="B3320" i="47" s="1"/>
  <c r="B2906" i="47"/>
  <c r="B3099" i="47" s="1"/>
  <c r="B3322" i="47" s="1"/>
  <c r="B2908" i="47"/>
  <c r="B3358" i="47" s="1"/>
  <c r="B2910" i="47"/>
  <c r="B2912" i="47"/>
  <c r="B2914" i="47"/>
  <c r="C1700" i="47"/>
  <c r="C1746" i="47" s="1"/>
  <c r="E1731" i="47"/>
  <c r="E1753" i="47" s="1"/>
  <c r="C1720" i="47"/>
  <c r="C1748" i="47" s="1"/>
  <c r="Y1731" i="47"/>
  <c r="Y1753" i="47" s="1"/>
  <c r="Y1720" i="47"/>
  <c r="Y1748" i="47" s="1"/>
  <c r="X1710" i="47"/>
  <c r="X1747" i="47" s="1"/>
  <c r="S1700" i="47"/>
  <c r="S1746" i="47" s="1"/>
  <c r="U1720" i="47"/>
  <c r="U1748" i="47" s="1"/>
  <c r="U1700" i="47"/>
  <c r="U1746" i="47" s="1"/>
  <c r="T1700" i="47"/>
  <c r="T1746" i="47" s="1"/>
  <c r="U1710" i="47"/>
  <c r="U1747" i="47" s="1"/>
  <c r="U1731" i="47"/>
  <c r="U1753" i="47" s="1"/>
  <c r="S1720" i="47"/>
  <c r="S1748" i="47" s="1"/>
  <c r="T1720" i="47"/>
  <c r="T1748" i="47" s="1"/>
  <c r="S1731" i="47"/>
  <c r="S1753" i="47" s="1"/>
  <c r="T1731" i="47"/>
  <c r="T1753" i="47" s="1"/>
  <c r="S1710" i="47"/>
  <c r="S1747" i="47" s="1"/>
  <c r="T1710" i="47"/>
  <c r="T1747" i="47" s="1"/>
  <c r="AK1710" i="47"/>
  <c r="AK1747" i="47" s="1"/>
  <c r="AK1731" i="47"/>
  <c r="AK1753" i="47" s="1"/>
  <c r="AJ1720" i="47"/>
  <c r="AJ1748" i="47" s="1"/>
  <c r="M1709" i="47"/>
  <c r="M1744" i="47" s="1"/>
  <c r="L1699" i="47"/>
  <c r="L1743" i="47" s="1"/>
  <c r="L1730" i="47"/>
  <c r="L1752" i="47" s="1"/>
  <c r="I1710" i="47"/>
  <c r="I1747" i="47" s="1"/>
  <c r="I1731" i="47"/>
  <c r="I1753" i="47" s="1"/>
  <c r="H1700" i="47"/>
  <c r="H1746" i="47" s="1"/>
  <c r="G1700" i="47"/>
  <c r="G1746" i="47" s="1"/>
  <c r="I1700" i="47"/>
  <c r="I1746" i="47" s="1"/>
  <c r="I1720" i="47"/>
  <c r="I1748" i="47" s="1"/>
  <c r="G1710" i="47"/>
  <c r="G1747" i="47" s="1"/>
  <c r="G1720" i="47"/>
  <c r="G1748" i="47" s="1"/>
  <c r="G1731" i="47"/>
  <c r="G1753" i="47" s="1"/>
  <c r="H1710" i="47"/>
  <c r="H1747" i="47" s="1"/>
  <c r="H1720" i="47"/>
  <c r="H1748" i="47" s="1"/>
  <c r="H1731" i="47"/>
  <c r="H1753" i="47" s="1"/>
  <c r="B2440" i="47"/>
  <c r="AA1699" i="47"/>
  <c r="AA1743" i="47" s="1"/>
  <c r="AC1709" i="47"/>
  <c r="AC1744" i="47" s="1"/>
  <c r="AC1730" i="47"/>
  <c r="AC1752" i="47" s="1"/>
  <c r="AC1699" i="47"/>
  <c r="AC1743" i="47" s="1"/>
  <c r="AC1719" i="47"/>
  <c r="AC1745" i="47" s="1"/>
  <c r="AB1699" i="47"/>
  <c r="AB1743" i="47" s="1"/>
  <c r="AA1730" i="47"/>
  <c r="AA1752" i="47" s="1"/>
  <c r="AB1709" i="47"/>
  <c r="AB1744" i="47" s="1"/>
  <c r="AA1719" i="47"/>
  <c r="AA1745" i="47" s="1"/>
  <c r="AA1709" i="47"/>
  <c r="AA1744" i="47" s="1"/>
  <c r="AB1730" i="47"/>
  <c r="AB1752" i="47" s="1"/>
  <c r="AB1719" i="47"/>
  <c r="AB1745" i="47" s="1"/>
  <c r="B2438" i="47"/>
  <c r="H2449" i="47" s="1"/>
  <c r="E1814" i="47"/>
  <c r="E2091" i="47" s="1"/>
  <c r="B2435" i="47"/>
  <c r="E2449" i="47" s="1"/>
  <c r="B2437" i="47"/>
  <c r="G2449" i="47" s="1"/>
  <c r="D149" i="35"/>
  <c r="E149" i="35"/>
  <c r="B149" i="35"/>
  <c r="F149" i="35"/>
  <c r="C149" i="36"/>
  <c r="G149" i="36"/>
  <c r="C149" i="35"/>
  <c r="E149" i="36"/>
  <c r="D149" i="36"/>
  <c r="C149" i="37"/>
  <c r="G149" i="37"/>
  <c r="G149" i="35"/>
  <c r="F149" i="36"/>
  <c r="D149" i="37"/>
  <c r="B149" i="36"/>
  <c r="B149" i="37"/>
  <c r="F149" i="37"/>
  <c r="E149" i="37"/>
  <c r="B149" i="38"/>
  <c r="F149" i="38"/>
  <c r="C149" i="38"/>
  <c r="G149" i="38"/>
  <c r="D149" i="38"/>
  <c r="E149" i="34"/>
  <c r="E149" i="38"/>
  <c r="C149" i="34"/>
  <c r="G149" i="34"/>
  <c r="D149" i="34"/>
  <c r="B149" i="34"/>
  <c r="F149" i="34"/>
  <c r="B115" i="41"/>
  <c r="AG1720" i="47"/>
  <c r="AG1748" i="47" s="1"/>
  <c r="AG1710" i="47"/>
  <c r="AG1747" i="47" s="1"/>
  <c r="AG1731" i="47"/>
  <c r="AG1753" i="47" s="1"/>
  <c r="AG1700" i="47"/>
  <c r="AG1746" i="47" s="1"/>
  <c r="AF1700" i="47"/>
  <c r="AF1746" i="47" s="1"/>
  <c r="AE1700" i="47"/>
  <c r="AE1746" i="47" s="1"/>
  <c r="AE1720" i="47"/>
  <c r="AE1748" i="47" s="1"/>
  <c r="AE1710" i="47"/>
  <c r="AE1747" i="47" s="1"/>
  <c r="AF1710" i="47"/>
  <c r="AF1747" i="47" s="1"/>
  <c r="AF1720" i="47"/>
  <c r="AF1748" i="47" s="1"/>
  <c r="AF1731" i="47"/>
  <c r="AF1753" i="47" s="1"/>
  <c r="AE1731" i="47"/>
  <c r="AE1753" i="47" s="1"/>
  <c r="B2436" i="47"/>
  <c r="F2449" i="47" s="1"/>
  <c r="M1700" i="47"/>
  <c r="M1746" i="47" s="1"/>
  <c r="M1720" i="47"/>
  <c r="M1748" i="47" s="1"/>
  <c r="M1731" i="47"/>
  <c r="M1753" i="47" s="1"/>
  <c r="L1700" i="47"/>
  <c r="L1746" i="47" s="1"/>
  <c r="K1700" i="47"/>
  <c r="K1746" i="47" s="1"/>
  <c r="M1710" i="47"/>
  <c r="M1747" i="47" s="1"/>
  <c r="L1710" i="47"/>
  <c r="L1747" i="47" s="1"/>
  <c r="K1731" i="47"/>
  <c r="K1753" i="47" s="1"/>
  <c r="K1710" i="47"/>
  <c r="K1747" i="47" s="1"/>
  <c r="L1720" i="47"/>
  <c r="L1748" i="47" s="1"/>
  <c r="L1731" i="47"/>
  <c r="L1753" i="47" s="1"/>
  <c r="K1720" i="47"/>
  <c r="K1748" i="47" s="1"/>
  <c r="B2434" i="47"/>
  <c r="D2449" i="47" s="1"/>
  <c r="U1699" i="47"/>
  <c r="U1743" i="47" s="1"/>
  <c r="S1699" i="47"/>
  <c r="S1743" i="47" s="1"/>
  <c r="U1709" i="47"/>
  <c r="U1744" i="47" s="1"/>
  <c r="U1730" i="47"/>
  <c r="U1752" i="47" s="1"/>
  <c r="T1699" i="47"/>
  <c r="T1743" i="47" s="1"/>
  <c r="U1719" i="47"/>
  <c r="U1745" i="47" s="1"/>
  <c r="S1709" i="47"/>
  <c r="S1744" i="47" s="1"/>
  <c r="T1730" i="47"/>
  <c r="T1752" i="47" s="1"/>
  <c r="S1730" i="47"/>
  <c r="S1752" i="47" s="1"/>
  <c r="T1709" i="47"/>
  <c r="T1744" i="47" s="1"/>
  <c r="T1719" i="47"/>
  <c r="T1745" i="47" s="1"/>
  <c r="S1719" i="47"/>
  <c r="S1745" i="47" s="1"/>
  <c r="B2433" i="47"/>
  <c r="C2449" i="47" s="1"/>
  <c r="B2439" i="47"/>
  <c r="I2449" i="47" s="1"/>
  <c r="Y1730" i="47" l="1"/>
  <c r="Y1752" i="47" s="1"/>
  <c r="X1719" i="47"/>
  <c r="X1745" i="47" s="1"/>
  <c r="E1798" i="47"/>
  <c r="E2074" i="47" s="1"/>
  <c r="E1793" i="47"/>
  <c r="E2069" i="47" s="1"/>
  <c r="L1719" i="47"/>
  <c r="L1745" i="47" s="1"/>
  <c r="K1719" i="47"/>
  <c r="K1745" i="47" s="1"/>
  <c r="AJ1710" i="47"/>
  <c r="AJ1747" i="47" s="1"/>
  <c r="AJ1731" i="47"/>
  <c r="AJ1753" i="47" s="1"/>
  <c r="X1720" i="47"/>
  <c r="X1748" i="47" s="1"/>
  <c r="W1710" i="47"/>
  <c r="W1747" i="47" s="1"/>
  <c r="C1710" i="47"/>
  <c r="C1747" i="47" s="1"/>
  <c r="B1794" i="47" s="1"/>
  <c r="B2070" i="47" s="1"/>
  <c r="D1710" i="47"/>
  <c r="D1747" i="47" s="1"/>
  <c r="E1720" i="47"/>
  <c r="E1748" i="47" s="1"/>
  <c r="L1709" i="47"/>
  <c r="L1744" i="47" s="1"/>
  <c r="K1730" i="47"/>
  <c r="K1752" i="47" s="1"/>
  <c r="D1777" i="47" s="1"/>
  <c r="D2048" i="47" s="1"/>
  <c r="M1730" i="47"/>
  <c r="M1752" i="47" s="1"/>
  <c r="AI1710" i="47"/>
  <c r="AI1747" i="47" s="1"/>
  <c r="AI1731" i="47"/>
  <c r="AI1753" i="47" s="1"/>
  <c r="AK1700" i="47"/>
  <c r="AK1746" i="47" s="1"/>
  <c r="W1720" i="47"/>
  <c r="W1748" i="47" s="1"/>
  <c r="W1731" i="47"/>
  <c r="W1753" i="47" s="1"/>
  <c r="X1700" i="47"/>
  <c r="X1746" i="47" s="1"/>
  <c r="D1731" i="47"/>
  <c r="D1753" i="47" s="1"/>
  <c r="B1815" i="47" s="1"/>
  <c r="B2092" i="47" s="1"/>
  <c r="D1720" i="47"/>
  <c r="D1748" i="47" s="1"/>
  <c r="D1700" i="47"/>
  <c r="D1746" i="47" s="1"/>
  <c r="I1699" i="47"/>
  <c r="I1743" i="47" s="1"/>
  <c r="AI1699" i="47"/>
  <c r="AI1743" i="47" s="1"/>
  <c r="K1709" i="47"/>
  <c r="K1744" i="47" s="1"/>
  <c r="M1719" i="47"/>
  <c r="M1745" i="47" s="1"/>
  <c r="K1699" i="47"/>
  <c r="K1743" i="47" s="1"/>
  <c r="AI1720" i="47"/>
  <c r="AI1748" i="47" s="1"/>
  <c r="J1773" i="47" s="1"/>
  <c r="J2044" i="47" s="1"/>
  <c r="AJ1700" i="47"/>
  <c r="AJ1746" i="47" s="1"/>
  <c r="AI1700" i="47"/>
  <c r="AI1746" i="47" s="1"/>
  <c r="X1731" i="47"/>
  <c r="X1753" i="47" s="1"/>
  <c r="W1700" i="47"/>
  <c r="W1746" i="47" s="1"/>
  <c r="G1771" i="47" s="1"/>
  <c r="G2042" i="47" s="1"/>
  <c r="G2114" i="47" s="1"/>
  <c r="G2210" i="47" s="1"/>
  <c r="G2379" i="47" s="1"/>
  <c r="Y1710" i="47"/>
  <c r="Y1747" i="47" s="1"/>
  <c r="C1731" i="47"/>
  <c r="C1753" i="47" s="1"/>
  <c r="E1700" i="47"/>
  <c r="E1746" i="47" s="1"/>
  <c r="G1719" i="47"/>
  <c r="G1745" i="47" s="1"/>
  <c r="E1777" i="47"/>
  <c r="E2048" i="47" s="1"/>
  <c r="J2156" i="47"/>
  <c r="J2225" i="47" s="1"/>
  <c r="J2394" i="47" s="1"/>
  <c r="X1699" i="47"/>
  <c r="X1743" i="47" s="1"/>
  <c r="Y1699" i="47"/>
  <c r="Y1743" i="47" s="1"/>
  <c r="X1709" i="47"/>
  <c r="X1744" i="47" s="1"/>
  <c r="W1730" i="47"/>
  <c r="W1752" i="47" s="1"/>
  <c r="Y1719" i="47"/>
  <c r="Y1745" i="47" s="1"/>
  <c r="X1730" i="47"/>
  <c r="X1752" i="47" s="1"/>
  <c r="AA1710" i="47"/>
  <c r="AA1747" i="47" s="1"/>
  <c r="AC1710" i="47"/>
  <c r="AC1747" i="47" s="1"/>
  <c r="AF1709" i="47"/>
  <c r="AF1744" i="47" s="1"/>
  <c r="AF1719" i="47"/>
  <c r="AF1745" i="47" s="1"/>
  <c r="AF1730" i="47"/>
  <c r="AF1752" i="47" s="1"/>
  <c r="F2156" i="47"/>
  <c r="F2225" i="47" s="1"/>
  <c r="F2394" i="47" s="1"/>
  <c r="G1770" i="47"/>
  <c r="G2041" i="47" s="1"/>
  <c r="G2113" i="47" s="1"/>
  <c r="G2209" i="47" s="1"/>
  <c r="G2378" i="47" s="1"/>
  <c r="I1709" i="47"/>
  <c r="I1744" i="47" s="1"/>
  <c r="G1730" i="47"/>
  <c r="G1752" i="47" s="1"/>
  <c r="AG1719" i="47"/>
  <c r="AG1745" i="47" s="1"/>
  <c r="D1773" i="47"/>
  <c r="D2044" i="47" s="1"/>
  <c r="H1699" i="47"/>
  <c r="H1743" i="47" s="1"/>
  <c r="H1709" i="47"/>
  <c r="H1744" i="47" s="1"/>
  <c r="AE1699" i="47"/>
  <c r="AE1743" i="47" s="1"/>
  <c r="AF1699" i="47"/>
  <c r="AF1743" i="47" s="1"/>
  <c r="AE1719" i="47"/>
  <c r="AE1745" i="47" s="1"/>
  <c r="I1770" i="47" s="1"/>
  <c r="I2041" i="47" s="1"/>
  <c r="I2113" i="47" s="1"/>
  <c r="I2209" i="47" s="1"/>
  <c r="I2378" i="47" s="1"/>
  <c r="AG1709" i="47"/>
  <c r="AG1744" i="47" s="1"/>
  <c r="AE1709" i="47"/>
  <c r="AE1744" i="47" s="1"/>
  <c r="B2156" i="47"/>
  <c r="B2225" i="47" s="1"/>
  <c r="B2394" i="47" s="1"/>
  <c r="B3001" i="47"/>
  <c r="C2156" i="47"/>
  <c r="C2225" i="47" s="1"/>
  <c r="C2394" i="47" s="1"/>
  <c r="E2156" i="47"/>
  <c r="E2225" i="47" s="1"/>
  <c r="E2394" i="47" s="1"/>
  <c r="B2118" i="47"/>
  <c r="B2223" i="47" s="1"/>
  <c r="B2392" i="47" s="1"/>
  <c r="AJ1699" i="47"/>
  <c r="AJ1743" i="47" s="1"/>
  <c r="AK1719" i="47"/>
  <c r="AK1745" i="47" s="1"/>
  <c r="AK1709" i="47"/>
  <c r="AK1744" i="47" s="1"/>
  <c r="D1719" i="47"/>
  <c r="D1745" i="47" s="1"/>
  <c r="E1730" i="47"/>
  <c r="E1752" i="47" s="1"/>
  <c r="C1730" i="47"/>
  <c r="C1752" i="47" s="1"/>
  <c r="D1709" i="47"/>
  <c r="D1744" i="47" s="1"/>
  <c r="D1730" i="47"/>
  <c r="D1752" i="47" s="1"/>
  <c r="E1699" i="47"/>
  <c r="E1743" i="47" s="1"/>
  <c r="D1699" i="47"/>
  <c r="D1743" i="47" s="1"/>
  <c r="C1719" i="47"/>
  <c r="C1745" i="47" s="1"/>
  <c r="C1699" i="47"/>
  <c r="C1743" i="47" s="1"/>
  <c r="E1719" i="47"/>
  <c r="E1745" i="47" s="1"/>
  <c r="C1709" i="47"/>
  <c r="C1744" i="47" s="1"/>
  <c r="E1709" i="47"/>
  <c r="E1744" i="47" s="1"/>
  <c r="H1770" i="47"/>
  <c r="H2041" i="47" s="1"/>
  <c r="B1773" i="47"/>
  <c r="B2044" i="47" s="1"/>
  <c r="B2809" i="47" s="1"/>
  <c r="B2955" i="47" s="1"/>
  <c r="B3203" i="47" s="1"/>
  <c r="AI1709" i="47"/>
  <c r="AI1744" i="47" s="1"/>
  <c r="AJ1709" i="47"/>
  <c r="AJ1744" i="47" s="1"/>
  <c r="AI1730" i="47"/>
  <c r="AI1752" i="47" s="1"/>
  <c r="AJ1730" i="47"/>
  <c r="AJ1752" i="47" s="1"/>
  <c r="AJ1719" i="47"/>
  <c r="AJ1745" i="47" s="1"/>
  <c r="AK1730" i="47"/>
  <c r="AK1752" i="47" s="1"/>
  <c r="H1771" i="47"/>
  <c r="H2042" i="47" s="1"/>
  <c r="I1771" i="47"/>
  <c r="I2042" i="47" s="1"/>
  <c r="I2114" i="47" s="1"/>
  <c r="I2210" i="47" s="1"/>
  <c r="I2379" i="47" s="1"/>
  <c r="AI1719" i="47"/>
  <c r="AI1745" i="47" s="1"/>
  <c r="J1770" i="47" s="1"/>
  <c r="J2041" i="47" s="1"/>
  <c r="J2113" i="47" s="1"/>
  <c r="J2209" i="47" s="1"/>
  <c r="J2378" i="47" s="1"/>
  <c r="I2156" i="47"/>
  <c r="I2225" i="47" s="1"/>
  <c r="I2394" i="47" s="1"/>
  <c r="E1770" i="47"/>
  <c r="E2041" i="47" s="1"/>
  <c r="E2113" i="47" s="1"/>
  <c r="E2209" i="47" s="1"/>
  <c r="E2378" i="47" s="1"/>
  <c r="F1768" i="47"/>
  <c r="F2039" i="47" s="1"/>
  <c r="H1768" i="47"/>
  <c r="H2039" i="47" s="1"/>
  <c r="B1771" i="47"/>
  <c r="B2042" i="47" s="1"/>
  <c r="B2114" i="47" s="1"/>
  <c r="B2210" i="47" s="1"/>
  <c r="B2379" i="47" s="1"/>
  <c r="H1719" i="47"/>
  <c r="H1745" i="47" s="1"/>
  <c r="G1709" i="47"/>
  <c r="G1744" i="47" s="1"/>
  <c r="G1699" i="47"/>
  <c r="G1743" i="47" s="1"/>
  <c r="D1768" i="47"/>
  <c r="D2039" i="47" s="1"/>
  <c r="C1770" i="47"/>
  <c r="C2041" i="47" s="1"/>
  <c r="C2113" i="47" s="1"/>
  <c r="C2209" i="47" s="1"/>
  <c r="C2378" i="47" s="1"/>
  <c r="E1768" i="47"/>
  <c r="E2039" i="47" s="1"/>
  <c r="E2112" i="47" s="1"/>
  <c r="E2207" i="47" s="1"/>
  <c r="E2376" i="47" s="1"/>
  <c r="G1773" i="47"/>
  <c r="G2044" i="47" s="1"/>
  <c r="B2967" i="47"/>
  <c r="B3215" i="47"/>
  <c r="B729" i="47"/>
  <c r="E2754" i="47" s="1"/>
  <c r="E2862" i="47" s="1"/>
  <c r="E2996" i="47" s="1"/>
  <c r="E3283" i="47" s="1"/>
  <c r="B732" i="47"/>
  <c r="H2754" i="47" s="1"/>
  <c r="B2966" i="47"/>
  <c r="B3214" i="47"/>
  <c r="F1771" i="47"/>
  <c r="F2042" i="47" s="1"/>
  <c r="H1773" i="47"/>
  <c r="H2044" i="47" s="1"/>
  <c r="H2809" i="47" s="1"/>
  <c r="H2955" i="47" s="1"/>
  <c r="H3203" i="47" s="1"/>
  <c r="E1773" i="47"/>
  <c r="E2044" i="47" s="1"/>
  <c r="B731" i="47"/>
  <c r="G2754" i="47" s="1"/>
  <c r="B728" i="47"/>
  <c r="D2754" i="47" s="1"/>
  <c r="B3213" i="47"/>
  <c r="B2965" i="47"/>
  <c r="F1770" i="47"/>
  <c r="F2041" i="47" s="1"/>
  <c r="E2882" i="47"/>
  <c r="E1771" i="47"/>
  <c r="E2042" i="47" s="1"/>
  <c r="B2968" i="47"/>
  <c r="B3216" i="47"/>
  <c r="B734" i="47"/>
  <c r="J2754" i="47" s="1"/>
  <c r="B730" i="47"/>
  <c r="F2754" i="47" s="1"/>
  <c r="F2882" i="47" s="1"/>
  <c r="D1771" i="47"/>
  <c r="D2042" i="47" s="1"/>
  <c r="I1773" i="47"/>
  <c r="I2044" i="47" s="1"/>
  <c r="H2882" i="47"/>
  <c r="H2898" i="47" s="1"/>
  <c r="C1773" i="47"/>
  <c r="C2044" i="47" s="1"/>
  <c r="C1771" i="47"/>
  <c r="C2042" i="47" s="1"/>
  <c r="C2114" i="47" s="1"/>
  <c r="C2210" i="47" s="1"/>
  <c r="C2379" i="47" s="1"/>
  <c r="D1770" i="47"/>
  <c r="D2041" i="47" s="1"/>
  <c r="J1771" i="47"/>
  <c r="J2042" i="47" s="1"/>
  <c r="J2807" i="47" s="1"/>
  <c r="J2953" i="47" s="1"/>
  <c r="J3201" i="47" s="1"/>
  <c r="F1773" i="47"/>
  <c r="F2044" i="47" s="1"/>
  <c r="B2964" i="47"/>
  <c r="B3212" i="47"/>
  <c r="B727" i="47"/>
  <c r="C2754" i="47" s="1"/>
  <c r="B733" i="47"/>
  <c r="I2754" i="47" s="1"/>
  <c r="F1769" i="47"/>
  <c r="F2040" i="47" s="1"/>
  <c r="F1793" i="47"/>
  <c r="F2069" i="47" s="1"/>
  <c r="D2809" i="47"/>
  <c r="D2955" i="47" s="1"/>
  <c r="D3203" i="47" s="1"/>
  <c r="D2115" i="47"/>
  <c r="D2212" i="47" s="1"/>
  <c r="D2381" i="47" s="1"/>
  <c r="D1778" i="47"/>
  <c r="D2049" i="47" s="1"/>
  <c r="D1799" i="47"/>
  <c r="D2075" i="47" s="1"/>
  <c r="D1815" i="47"/>
  <c r="D2092" i="47" s="1"/>
  <c r="I2115" i="47"/>
  <c r="I2212" i="47" s="1"/>
  <c r="I2381" i="47" s="1"/>
  <c r="E2813" i="47"/>
  <c r="E2959" i="47" s="1"/>
  <c r="E3207" i="47" s="1"/>
  <c r="E2151" i="47"/>
  <c r="E2216" i="47" s="1"/>
  <c r="E2385" i="47" s="1"/>
  <c r="G2115" i="47"/>
  <c r="G2212" i="47" s="1"/>
  <c r="G2381" i="47" s="1"/>
  <c r="G1815" i="47"/>
  <c r="G2092" i="47" s="1"/>
  <c r="G1778" i="47"/>
  <c r="G2049" i="47" s="1"/>
  <c r="G1799" i="47"/>
  <c r="G2075" i="47" s="1"/>
  <c r="B2807" i="47"/>
  <c r="B2953" i="47" s="1"/>
  <c r="B3201" i="47" s="1"/>
  <c r="E1794" i="47"/>
  <c r="E2070" i="47" s="1"/>
  <c r="E1772" i="47"/>
  <c r="E2043" i="47" s="1"/>
  <c r="H1777" i="47"/>
  <c r="H2048" i="47" s="1"/>
  <c r="H1798" i="47"/>
  <c r="H2074" i="47" s="1"/>
  <c r="H1814" i="47"/>
  <c r="H2091" i="47" s="1"/>
  <c r="C1778" i="47"/>
  <c r="C2049" i="47" s="1"/>
  <c r="C1799" i="47"/>
  <c r="C2075" i="47" s="1"/>
  <c r="C1815" i="47"/>
  <c r="C2092" i="47" s="1"/>
  <c r="D1769" i="47"/>
  <c r="D2040" i="47" s="1"/>
  <c r="D1793" i="47"/>
  <c r="D2069" i="47" s="1"/>
  <c r="J1778" i="47"/>
  <c r="J2049" i="47" s="1"/>
  <c r="J1799" i="47"/>
  <c r="J2075" i="47" s="1"/>
  <c r="J1815" i="47"/>
  <c r="J2092" i="47" s="1"/>
  <c r="F1778" i="47"/>
  <c r="F2049" i="47" s="1"/>
  <c r="F1815" i="47"/>
  <c r="F2092" i="47" s="1"/>
  <c r="F1799" i="47"/>
  <c r="F2075" i="47" s="1"/>
  <c r="F2114" i="47"/>
  <c r="F2210" i="47" s="1"/>
  <c r="F2379" i="47" s="1"/>
  <c r="B1778" i="47"/>
  <c r="B2049" i="47" s="1"/>
  <c r="E2115" i="47"/>
  <c r="E2212" i="47" s="1"/>
  <c r="E2381" i="47" s="1"/>
  <c r="F1798" i="47"/>
  <c r="F2074" i="47" s="1"/>
  <c r="F1814" i="47"/>
  <c r="F2091" i="47" s="1"/>
  <c r="F1777" i="47"/>
  <c r="F2048" i="47" s="1"/>
  <c r="E2837" i="47"/>
  <c r="E2977" i="47" s="1"/>
  <c r="E3237" i="47" s="1"/>
  <c r="H2896" i="47"/>
  <c r="H3091" i="47" s="1"/>
  <c r="H3312" i="47" s="1"/>
  <c r="H2904" i="47"/>
  <c r="H3097" i="47" s="1"/>
  <c r="H3320" i="47" s="1"/>
  <c r="H2912" i="47"/>
  <c r="H2901" i="47"/>
  <c r="H2909" i="47"/>
  <c r="H3359" i="47" s="1"/>
  <c r="H1769" i="47"/>
  <c r="H2040" i="47" s="1"/>
  <c r="H1793" i="47"/>
  <c r="H2069" i="47" s="1"/>
  <c r="D2806" i="47"/>
  <c r="D2952" i="47" s="1"/>
  <c r="D3200" i="47" s="1"/>
  <c r="D2113" i="47"/>
  <c r="D2209" i="47" s="1"/>
  <c r="D2378" i="47" s="1"/>
  <c r="H1778" i="47"/>
  <c r="H2049" i="47" s="1"/>
  <c r="H1799" i="47"/>
  <c r="H2075" i="47" s="1"/>
  <c r="H1815" i="47"/>
  <c r="H2092" i="47" s="1"/>
  <c r="E1799" i="47"/>
  <c r="E2075" i="47" s="1"/>
  <c r="E1815" i="47"/>
  <c r="E2092" i="47" s="1"/>
  <c r="E1778" i="47"/>
  <c r="E2049" i="47" s="1"/>
  <c r="F2113" i="47"/>
  <c r="F2209" i="47" s="1"/>
  <c r="F2378" i="47" s="1"/>
  <c r="D1772" i="47"/>
  <c r="D2043" i="47" s="1"/>
  <c r="D1794" i="47"/>
  <c r="D2070" i="47" s="1"/>
  <c r="D2114" i="47"/>
  <c r="D2210" i="47" s="1"/>
  <c r="D2379" i="47" s="1"/>
  <c r="E2805" i="47"/>
  <c r="E2951" i="47" s="1"/>
  <c r="E3199" i="47" s="1"/>
  <c r="E2132" i="47"/>
  <c r="E2208" i="47" s="1"/>
  <c r="E2377" i="47" s="1"/>
  <c r="I1799" i="47"/>
  <c r="I2075" i="47" s="1"/>
  <c r="I1815" i="47"/>
  <c r="I2092" i="47" s="1"/>
  <c r="I1778" i="47"/>
  <c r="I2049" i="47" s="1"/>
  <c r="I1772" i="47"/>
  <c r="I2043" i="47" s="1"/>
  <c r="I1794" i="47"/>
  <c r="I2070" i="47" s="1"/>
  <c r="B150" i="35"/>
  <c r="F150" i="35"/>
  <c r="C150" i="35"/>
  <c r="G150" i="35"/>
  <c r="D150" i="35"/>
  <c r="E150" i="35"/>
  <c r="E150" i="36"/>
  <c r="C150" i="36"/>
  <c r="G150" i="36"/>
  <c r="F150" i="36"/>
  <c r="B150" i="37"/>
  <c r="F150" i="37"/>
  <c r="B150" i="36"/>
  <c r="D150" i="36"/>
  <c r="D150" i="37"/>
  <c r="E150" i="37"/>
  <c r="G150" i="37"/>
  <c r="D150" i="38"/>
  <c r="C150" i="37"/>
  <c r="E150" i="38"/>
  <c r="F150" i="38"/>
  <c r="C150" i="34"/>
  <c r="G150" i="34"/>
  <c r="G150" i="38"/>
  <c r="B150" i="38"/>
  <c r="E150" i="34"/>
  <c r="C150" i="38"/>
  <c r="B150" i="34"/>
  <c r="F150" i="34"/>
  <c r="D150" i="34"/>
  <c r="B116" i="41"/>
  <c r="E2896" i="47"/>
  <c r="E3091" i="47" s="1"/>
  <c r="E3312" i="47" s="1"/>
  <c r="E2898" i="47"/>
  <c r="E2900" i="47"/>
  <c r="E3094" i="47" s="1"/>
  <c r="E3316" i="47" s="1"/>
  <c r="E2902" i="47"/>
  <c r="E3095" i="47" s="1"/>
  <c r="E3318" i="47" s="1"/>
  <c r="E2904" i="47"/>
  <c r="E3097" i="47" s="1"/>
  <c r="E3320" i="47" s="1"/>
  <c r="E2906" i="47"/>
  <c r="E3099" i="47" s="1"/>
  <c r="E3322" i="47" s="1"/>
  <c r="E2908" i="47"/>
  <c r="E3358" i="47" s="1"/>
  <c r="E2910" i="47"/>
  <c r="E2912" i="47"/>
  <c r="E2914" i="47"/>
  <c r="E2899" i="47"/>
  <c r="E3093" i="47" s="1"/>
  <c r="E3315" i="47" s="1"/>
  <c r="E2913" i="47"/>
  <c r="E2905" i="47"/>
  <c r="E3098" i="47" s="1"/>
  <c r="E3321" i="47" s="1"/>
  <c r="E2907" i="47"/>
  <c r="E3357" i="47" s="1"/>
  <c r="E2903" i="47"/>
  <c r="E3096" i="47" s="1"/>
  <c r="E3319" i="47" s="1"/>
  <c r="E2897" i="47"/>
  <c r="E3092" i="47" s="1"/>
  <c r="E3313" i="47" s="1"/>
  <c r="E2901" i="47"/>
  <c r="E2911" i="47"/>
  <c r="E2909" i="47"/>
  <c r="E3359" i="47" s="1"/>
  <c r="E2842" i="47"/>
  <c r="E2982" i="47" s="1"/>
  <c r="E3245" i="47" s="1"/>
  <c r="H2806" i="47"/>
  <c r="H2952" i="47" s="1"/>
  <c r="H3200" i="47" s="1"/>
  <c r="H2113" i="47"/>
  <c r="H2209" i="47" s="1"/>
  <c r="H2378" i="47" s="1"/>
  <c r="H2804" i="47"/>
  <c r="H2950" i="47" s="1"/>
  <c r="H3198" i="47" s="1"/>
  <c r="H2112" i="47"/>
  <c r="H2207" i="47" s="1"/>
  <c r="C1772" i="47"/>
  <c r="C2043" i="47" s="1"/>
  <c r="C1794" i="47"/>
  <c r="C2070" i="47" s="1"/>
  <c r="D1814" i="47"/>
  <c r="D2091" i="47" s="1"/>
  <c r="F1794" i="47"/>
  <c r="F2070" i="47" s="1"/>
  <c r="F1772" i="47"/>
  <c r="F2043" i="47" s="1"/>
  <c r="F2115" i="47"/>
  <c r="F2212" i="47" s="1"/>
  <c r="F2381" i="47" s="1"/>
  <c r="G1794" i="47"/>
  <c r="G2070" i="47" s="1"/>
  <c r="G1772" i="47"/>
  <c r="G2043" i="47" s="1"/>
  <c r="H1772" i="47"/>
  <c r="H2043" i="47" s="1"/>
  <c r="H1794" i="47"/>
  <c r="H2070" i="47" s="1"/>
  <c r="C2809" i="47" l="1"/>
  <c r="C2955" i="47" s="1"/>
  <c r="C3203" i="47" s="1"/>
  <c r="E2807" i="47"/>
  <c r="E2953" i="47" s="1"/>
  <c r="E3201" i="47" s="1"/>
  <c r="C1768" i="47"/>
  <c r="C2039" i="47" s="1"/>
  <c r="J1768" i="47"/>
  <c r="J2039" i="47" s="1"/>
  <c r="J2112" i="47" s="1"/>
  <c r="J2207" i="47" s="1"/>
  <c r="J2376" i="47" s="1"/>
  <c r="J1794" i="47"/>
  <c r="J2070" i="47" s="1"/>
  <c r="D2807" i="47"/>
  <c r="D2953" i="47" s="1"/>
  <c r="D3201" i="47" s="1"/>
  <c r="E2809" i="47"/>
  <c r="E2955" i="47" s="1"/>
  <c r="E3203" i="47" s="1"/>
  <c r="J2115" i="47"/>
  <c r="J2212" i="47" s="1"/>
  <c r="J2381" i="47" s="1"/>
  <c r="J2809" i="47"/>
  <c r="J2955" i="47" s="1"/>
  <c r="J3203" i="47" s="1"/>
  <c r="E2114" i="47"/>
  <c r="E2210" i="47" s="1"/>
  <c r="E2379" i="47" s="1"/>
  <c r="B1772" i="47"/>
  <c r="B2043" i="47" s="1"/>
  <c r="J1772" i="47"/>
  <c r="J2043" i="47" s="1"/>
  <c r="B2115" i="47"/>
  <c r="B2212" i="47" s="1"/>
  <c r="B2381" i="47" s="1"/>
  <c r="G1768" i="47"/>
  <c r="G2039" i="47" s="1"/>
  <c r="G2112" i="47" s="1"/>
  <c r="G2207" i="47" s="1"/>
  <c r="G2376" i="47" s="1"/>
  <c r="J2114" i="47"/>
  <c r="J2210" i="47" s="1"/>
  <c r="J2379" i="47" s="1"/>
  <c r="D1798" i="47"/>
  <c r="D2074" i="47" s="1"/>
  <c r="C2115" i="47"/>
  <c r="C2212" i="47" s="1"/>
  <c r="C2381" i="47" s="1"/>
  <c r="B1799" i="47"/>
  <c r="B2075" i="47" s="1"/>
  <c r="B2152" i="47" s="1"/>
  <c r="B2217" i="47" s="1"/>
  <c r="B2386" i="47" s="1"/>
  <c r="F2807" i="47"/>
  <c r="F2953" i="47" s="1"/>
  <c r="F3201" i="47" s="1"/>
  <c r="G1777" i="47"/>
  <c r="G2048" i="47" s="1"/>
  <c r="G1798" i="47"/>
  <c r="G2074" i="47" s="1"/>
  <c r="G2842" i="47" s="1"/>
  <c r="G2982" i="47" s="1"/>
  <c r="G3245" i="47" s="1"/>
  <c r="G1814" i="47"/>
  <c r="G2091" i="47" s="1"/>
  <c r="G2862" i="47" s="1"/>
  <c r="G2996" i="47" s="1"/>
  <c r="G3283" i="47" s="1"/>
  <c r="F2809" i="47"/>
  <c r="F2955" i="47" s="1"/>
  <c r="F3203" i="47" s="1"/>
  <c r="F2806" i="47"/>
  <c r="F2952" i="47" s="1"/>
  <c r="F3200" i="47" s="1"/>
  <c r="F2804" i="47"/>
  <c r="F2950" i="47" s="1"/>
  <c r="F3198" i="47" s="1"/>
  <c r="G1793" i="47"/>
  <c r="G2069" i="47" s="1"/>
  <c r="G1769" i="47"/>
  <c r="G2040" i="47" s="1"/>
  <c r="F2112" i="47"/>
  <c r="F2207" i="47" s="1"/>
  <c r="F2376" i="47" s="1"/>
  <c r="C2807" i="47"/>
  <c r="C2953" i="47" s="1"/>
  <c r="C3201" i="47" s="1"/>
  <c r="I1798" i="47"/>
  <c r="I2074" i="47" s="1"/>
  <c r="I1777" i="47"/>
  <c r="I2048" i="47" s="1"/>
  <c r="I1814" i="47"/>
  <c r="I2091" i="47" s="1"/>
  <c r="I2862" i="47" s="1"/>
  <c r="I2996" i="47" s="1"/>
  <c r="I3283" i="47" s="1"/>
  <c r="I2807" i="47"/>
  <c r="I2953" i="47" s="1"/>
  <c r="I3201" i="47" s="1"/>
  <c r="I2809" i="47"/>
  <c r="I2955" i="47" s="1"/>
  <c r="I3203" i="47" s="1"/>
  <c r="G2837" i="47"/>
  <c r="G2977" i="47" s="1"/>
  <c r="G3237" i="47" s="1"/>
  <c r="G2807" i="47"/>
  <c r="G2953" i="47" s="1"/>
  <c r="G3201" i="47" s="1"/>
  <c r="B1768" i="47"/>
  <c r="B2039" i="47" s="1"/>
  <c r="B2804" i="47" s="1"/>
  <c r="B2950" i="47" s="1"/>
  <c r="B3198" i="47" s="1"/>
  <c r="G2813" i="47"/>
  <c r="G2959" i="47" s="1"/>
  <c r="G3207" i="47" s="1"/>
  <c r="I2842" i="47"/>
  <c r="I2982" i="47" s="1"/>
  <c r="I3245" i="47" s="1"/>
  <c r="I1793" i="47"/>
  <c r="I2069" i="47" s="1"/>
  <c r="I2837" i="47" s="1"/>
  <c r="I2977" i="47" s="1"/>
  <c r="I3237" i="47" s="1"/>
  <c r="I1769" i="47"/>
  <c r="I2040" i="47" s="1"/>
  <c r="I1768" i="47"/>
  <c r="I2039" i="47" s="1"/>
  <c r="I2112" i="47" s="1"/>
  <c r="I2207" i="47" s="1"/>
  <c r="I2376" i="47" s="1"/>
  <c r="C1798" i="47"/>
  <c r="C2074" i="47" s="1"/>
  <c r="C2842" i="47" s="1"/>
  <c r="C2982" i="47" s="1"/>
  <c r="C3245" i="47" s="1"/>
  <c r="C1814" i="47"/>
  <c r="C2091" i="47" s="1"/>
  <c r="C2862" i="47" s="1"/>
  <c r="C2996" i="47" s="1"/>
  <c r="C3283" i="47" s="1"/>
  <c r="C1777" i="47"/>
  <c r="C2048" i="47" s="1"/>
  <c r="G2809" i="47"/>
  <c r="G2955" i="47" s="1"/>
  <c r="G3203" i="47" s="1"/>
  <c r="D2804" i="47"/>
  <c r="D2950" i="47" s="1"/>
  <c r="D3198" i="47" s="1"/>
  <c r="H2807" i="47"/>
  <c r="H2953" i="47" s="1"/>
  <c r="H3201" i="47" s="1"/>
  <c r="H2907" i="47"/>
  <c r="H3357" i="47" s="1"/>
  <c r="H2899" i="47"/>
  <c r="H3093" i="47" s="1"/>
  <c r="H3315" i="47" s="1"/>
  <c r="H2910" i="47"/>
  <c r="H2902" i="47"/>
  <c r="H3095" i="47" s="1"/>
  <c r="H3318" i="47" s="1"/>
  <c r="D2112" i="47"/>
  <c r="D2207" i="47" s="1"/>
  <c r="H2114" i="47"/>
  <c r="H2210" i="47" s="1"/>
  <c r="H2379" i="47" s="1"/>
  <c r="B1770" i="47"/>
  <c r="B2041" i="47" s="1"/>
  <c r="H2913" i="47"/>
  <c r="H2905" i="47"/>
  <c r="H3098" i="47" s="1"/>
  <c r="H3321" i="47" s="1"/>
  <c r="H2897" i="47"/>
  <c r="H3092" i="47" s="1"/>
  <c r="H3313" i="47" s="1"/>
  <c r="H2908" i="47"/>
  <c r="H3358" i="47" s="1"/>
  <c r="H2900" i="47"/>
  <c r="H3094" i="47" s="1"/>
  <c r="H3316" i="47" s="1"/>
  <c r="H2115" i="47"/>
  <c r="H2212" i="47" s="1"/>
  <c r="H2381" i="47" s="1"/>
  <c r="J1769" i="47"/>
  <c r="J2040" i="47" s="1"/>
  <c r="J1793" i="47"/>
  <c r="J2069" i="47" s="1"/>
  <c r="J2837" i="47" s="1"/>
  <c r="J2977" i="47" s="1"/>
  <c r="J3237" i="47" s="1"/>
  <c r="B1769" i="47"/>
  <c r="B2040" i="47" s="1"/>
  <c r="B1793" i="47"/>
  <c r="B2069" i="47" s="1"/>
  <c r="B2837" i="47" s="1"/>
  <c r="B2977" i="47" s="1"/>
  <c r="B3237" i="47" s="1"/>
  <c r="B1798" i="47"/>
  <c r="B2074" i="47" s="1"/>
  <c r="B2842" i="47" s="1"/>
  <c r="B2982" i="47" s="1"/>
  <c r="B3245" i="47" s="1"/>
  <c r="B1777" i="47"/>
  <c r="B2048" i="47" s="1"/>
  <c r="B1814" i="47"/>
  <c r="B2091" i="47" s="1"/>
  <c r="B2862" i="47" s="1"/>
  <c r="B2996" i="47" s="1"/>
  <c r="B3283" i="47" s="1"/>
  <c r="H2911" i="47"/>
  <c r="H2903" i="47"/>
  <c r="H3096" i="47" s="1"/>
  <c r="H3319" i="47" s="1"/>
  <c r="H2914" i="47"/>
  <c r="H2906" i="47"/>
  <c r="H3099" i="47" s="1"/>
  <c r="H3322" i="47" s="1"/>
  <c r="J1798" i="47"/>
  <c r="J2074" i="47" s="1"/>
  <c r="J2842" i="47" s="1"/>
  <c r="J2982" i="47" s="1"/>
  <c r="J3245" i="47" s="1"/>
  <c r="J1814" i="47"/>
  <c r="J2091" i="47" s="1"/>
  <c r="J2862" i="47" s="1"/>
  <c r="J2996" i="47" s="1"/>
  <c r="J3283" i="47" s="1"/>
  <c r="J1777" i="47"/>
  <c r="J2048" i="47" s="1"/>
  <c r="B2112" i="47"/>
  <c r="B2207" i="47" s="1"/>
  <c r="B2376" i="47" s="1"/>
  <c r="C1793" i="47"/>
  <c r="C2069" i="47" s="1"/>
  <c r="C2837" i="47" s="1"/>
  <c r="C2977" i="47" s="1"/>
  <c r="C3237" i="47" s="1"/>
  <c r="C1769" i="47"/>
  <c r="C2040" i="47" s="1"/>
  <c r="F2901" i="47"/>
  <c r="F2913" i="47"/>
  <c r="F2902" i="47"/>
  <c r="F3095" i="47" s="1"/>
  <c r="F3318" i="47" s="1"/>
  <c r="F2898" i="47"/>
  <c r="F2904" i="47"/>
  <c r="F3097" i="47" s="1"/>
  <c r="F3320" i="47" s="1"/>
  <c r="F2903" i="47"/>
  <c r="F3096" i="47" s="1"/>
  <c r="F3319" i="47" s="1"/>
  <c r="F2914" i="47"/>
  <c r="F2912" i="47"/>
  <c r="F2908" i="47"/>
  <c r="F3358" i="47" s="1"/>
  <c r="F2907" i="47"/>
  <c r="F3357" i="47" s="1"/>
  <c r="F2905" i="47"/>
  <c r="F3098" i="47" s="1"/>
  <c r="F3321" i="47" s="1"/>
  <c r="F2911" i="47"/>
  <c r="F2910" i="47"/>
  <c r="F2896" i="47"/>
  <c r="F3091" i="47" s="1"/>
  <c r="F3312" i="47" s="1"/>
  <c r="F2899" i="47"/>
  <c r="F3093" i="47" s="1"/>
  <c r="F3315" i="47" s="1"/>
  <c r="F2909" i="47"/>
  <c r="F3359" i="47" s="1"/>
  <c r="F2906" i="47"/>
  <c r="F3099" i="47" s="1"/>
  <c r="F3322" i="47" s="1"/>
  <c r="F2900" i="47"/>
  <c r="F3094" i="47" s="1"/>
  <c r="F3316" i="47" s="1"/>
  <c r="F2897" i="47"/>
  <c r="F3092" i="47" s="1"/>
  <c r="F3313" i="47" s="1"/>
  <c r="C2112" i="47"/>
  <c r="C2207" i="47" s="1"/>
  <c r="C2804" i="47"/>
  <c r="C2950" i="47" s="1"/>
  <c r="C3198" i="47" s="1"/>
  <c r="C2823" i="47"/>
  <c r="C3220" i="47" s="1"/>
  <c r="C2766" i="47"/>
  <c r="C2923" i="47" s="1"/>
  <c r="C2774" i="47"/>
  <c r="C2931" i="47" s="1"/>
  <c r="C2782" i="47"/>
  <c r="C2939" i="47" s="1"/>
  <c r="C2790" i="47"/>
  <c r="C2773" i="47"/>
  <c r="C2930" i="47" s="1"/>
  <c r="C2781" i="47"/>
  <c r="C2938" i="47" s="1"/>
  <c r="C2789" i="47"/>
  <c r="C3221" i="47" s="1"/>
  <c r="C3166" i="47"/>
  <c r="C3181" i="47" s="1"/>
  <c r="C3406" i="47" s="1"/>
  <c r="C2825" i="47"/>
  <c r="C3224" i="47" s="1"/>
  <c r="C2768" i="47"/>
  <c r="C2925" i="47" s="1"/>
  <c r="C2776" i="47"/>
  <c r="C2933" i="47" s="1"/>
  <c r="C2784" i="47"/>
  <c r="C2941" i="47" s="1"/>
  <c r="C2792" i="47"/>
  <c r="C2767" i="47"/>
  <c r="C2924" i="47" s="1"/>
  <c r="C2775" i="47"/>
  <c r="C2932" i="47" s="1"/>
  <c r="C2783" i="47"/>
  <c r="C2940" i="47" s="1"/>
  <c r="C2791" i="47"/>
  <c r="C3223" i="47" s="1"/>
  <c r="C3162" i="47"/>
  <c r="C3177" i="47" s="1"/>
  <c r="C3402" i="47" s="1"/>
  <c r="C2770" i="47"/>
  <c r="C2927" i="47" s="1"/>
  <c r="C2778" i="47"/>
  <c r="C2935" i="47" s="1"/>
  <c r="C3110" i="47" s="1"/>
  <c r="C3122" i="47" s="1"/>
  <c r="C3393" i="47" s="1"/>
  <c r="C2786" i="47"/>
  <c r="C3218" i="47" s="1"/>
  <c r="C2769" i="47"/>
  <c r="C2926" i="47" s="1"/>
  <c r="C2777" i="47"/>
  <c r="C2934" i="47" s="1"/>
  <c r="C3109" i="47" s="1"/>
  <c r="C3121" i="47" s="1"/>
  <c r="C3392" i="47" s="1"/>
  <c r="C2785" i="47"/>
  <c r="C3217" i="47" s="1"/>
  <c r="C3163" i="47"/>
  <c r="C3178" i="47" s="1"/>
  <c r="C3403" i="47" s="1"/>
  <c r="C3164" i="47"/>
  <c r="C3179" i="47" s="1"/>
  <c r="C3404" i="47" s="1"/>
  <c r="C2868" i="47"/>
  <c r="C3296" i="47" s="1"/>
  <c r="C2840" i="47"/>
  <c r="C2980" i="47" s="1"/>
  <c r="C3243" i="47" s="1"/>
  <c r="C2848" i="47"/>
  <c r="C3258" i="47" s="1"/>
  <c r="C2772" i="47"/>
  <c r="C2929" i="47" s="1"/>
  <c r="C2780" i="47"/>
  <c r="C2937" i="47" s="1"/>
  <c r="C2788" i="47"/>
  <c r="C2771" i="47"/>
  <c r="C2928" i="47" s="1"/>
  <c r="C2779" i="47"/>
  <c r="C2936" i="47" s="1"/>
  <c r="C3111" i="47" s="1"/>
  <c r="C3123" i="47" s="1"/>
  <c r="C3394" i="47" s="1"/>
  <c r="C2787" i="47"/>
  <c r="C3219" i="47" s="1"/>
  <c r="C3165" i="47"/>
  <c r="C3180" i="47" s="1"/>
  <c r="C3405" i="47" s="1"/>
  <c r="C3167" i="47"/>
  <c r="C3182" i="47" s="1"/>
  <c r="C3407" i="47" s="1"/>
  <c r="C2824" i="47"/>
  <c r="C3222" i="47" s="1"/>
  <c r="C2850" i="47"/>
  <c r="C3262" i="47" s="1"/>
  <c r="C2869" i="47"/>
  <c r="C3298" i="47" s="1"/>
  <c r="C2811" i="47"/>
  <c r="C2957" i="47" s="1"/>
  <c r="C3205" i="47" s="1"/>
  <c r="C2849" i="47"/>
  <c r="C3260" i="47" s="1"/>
  <c r="C2870" i="47"/>
  <c r="C3300" i="47" s="1"/>
  <c r="C2866" i="47"/>
  <c r="C3000" i="47" s="1"/>
  <c r="C3287" i="47" s="1"/>
  <c r="C2815" i="47"/>
  <c r="C2961" i="47" s="1"/>
  <c r="C3209" i="47" s="1"/>
  <c r="C2839" i="47"/>
  <c r="C2979" i="47" s="1"/>
  <c r="C3242" i="47" s="1"/>
  <c r="C2844" i="47"/>
  <c r="C2984" i="47" s="1"/>
  <c r="C3247" i="47" s="1"/>
  <c r="C2841" i="47"/>
  <c r="C2981" i="47" s="1"/>
  <c r="C3244" i="47" s="1"/>
  <c r="C2810" i="47"/>
  <c r="C2956" i="47" s="1"/>
  <c r="C3204" i="47" s="1"/>
  <c r="C2812" i="47"/>
  <c r="C2958" i="47" s="1"/>
  <c r="C3206" i="47" s="1"/>
  <c r="C2865" i="47"/>
  <c r="C2999" i="47" s="1"/>
  <c r="C3286" i="47" s="1"/>
  <c r="C2864" i="47"/>
  <c r="C2998" i="47" s="1"/>
  <c r="C3285" i="47" s="1"/>
  <c r="C2845" i="47"/>
  <c r="C2985" i="47" s="1"/>
  <c r="C3248" i="47" s="1"/>
  <c r="C2816" i="47"/>
  <c r="C2962" i="47" s="1"/>
  <c r="C3210" i="47" s="1"/>
  <c r="C2846" i="47"/>
  <c r="C2986" i="47" s="1"/>
  <c r="C3249" i="47" s="1"/>
  <c r="C2817" i="47"/>
  <c r="C2963" i="47" s="1"/>
  <c r="C3211" i="47" s="1"/>
  <c r="C2818" i="47"/>
  <c r="C2819" i="47"/>
  <c r="C2847" i="47"/>
  <c r="C2820" i="47"/>
  <c r="C2822" i="47"/>
  <c r="C2867" i="47"/>
  <c r="C2821" i="47"/>
  <c r="C2806" i="47"/>
  <c r="C2952" i="47" s="1"/>
  <c r="C3200" i="47" s="1"/>
  <c r="C2882" i="47"/>
  <c r="I2869" i="47"/>
  <c r="I3298" i="47" s="1"/>
  <c r="I2824" i="47"/>
  <c r="I3222" i="47" s="1"/>
  <c r="I2840" i="47"/>
  <c r="I2980" i="47" s="1"/>
  <c r="I3243" i="47" s="1"/>
  <c r="I2771" i="47"/>
  <c r="I2928" i="47" s="1"/>
  <c r="I2779" i="47"/>
  <c r="I2936" i="47" s="1"/>
  <c r="I3111" i="47" s="1"/>
  <c r="I3123" i="47" s="1"/>
  <c r="I3394" i="47" s="1"/>
  <c r="I2787" i="47"/>
  <c r="I3219" i="47" s="1"/>
  <c r="I2770" i="47"/>
  <c r="I2927" i="47" s="1"/>
  <c r="I2778" i="47"/>
  <c r="I2935" i="47" s="1"/>
  <c r="I3110" i="47" s="1"/>
  <c r="I3122" i="47" s="1"/>
  <c r="I3393" i="47" s="1"/>
  <c r="I2786" i="47"/>
  <c r="I3218" i="47" s="1"/>
  <c r="I3166" i="47"/>
  <c r="I3181" i="47" s="1"/>
  <c r="I3406" i="47" s="1"/>
  <c r="I2850" i="47"/>
  <c r="I3262" i="47" s="1"/>
  <c r="I2773" i="47"/>
  <c r="I2930" i="47" s="1"/>
  <c r="I2781" i="47"/>
  <c r="I2938" i="47" s="1"/>
  <c r="I2789" i="47"/>
  <c r="I3221" i="47" s="1"/>
  <c r="I2772" i="47"/>
  <c r="I2929" i="47" s="1"/>
  <c r="I2780" i="47"/>
  <c r="I2937" i="47" s="1"/>
  <c r="I2788" i="47"/>
  <c r="I3162" i="47"/>
  <c r="I3177" i="47" s="1"/>
  <c r="I3402" i="47" s="1"/>
  <c r="I2848" i="47"/>
  <c r="I3258" i="47" s="1"/>
  <c r="I2825" i="47"/>
  <c r="I3224" i="47" s="1"/>
  <c r="I2767" i="47"/>
  <c r="I2924" i="47" s="1"/>
  <c r="I2775" i="47"/>
  <c r="I2932" i="47" s="1"/>
  <c r="I2783" i="47"/>
  <c r="I2940" i="47" s="1"/>
  <c r="I2791" i="47"/>
  <c r="I3223" i="47" s="1"/>
  <c r="I2766" i="47"/>
  <c r="I2923" i="47" s="1"/>
  <c r="I2774" i="47"/>
  <c r="I2931" i="47" s="1"/>
  <c r="I2782" i="47"/>
  <c r="I2939" i="47" s="1"/>
  <c r="I2790" i="47"/>
  <c r="I3163" i="47"/>
  <c r="I3178" i="47" s="1"/>
  <c r="I3403" i="47" s="1"/>
  <c r="I3164" i="47"/>
  <c r="I3179" i="47" s="1"/>
  <c r="I3404" i="47" s="1"/>
  <c r="I2868" i="47"/>
  <c r="I3296" i="47" s="1"/>
  <c r="I2823" i="47"/>
  <c r="I3220" i="47" s="1"/>
  <c r="I2769" i="47"/>
  <c r="I2926" i="47" s="1"/>
  <c r="I2777" i="47"/>
  <c r="I2934" i="47" s="1"/>
  <c r="I3109" i="47" s="1"/>
  <c r="I3121" i="47" s="1"/>
  <c r="I3392" i="47" s="1"/>
  <c r="I2785" i="47"/>
  <c r="I3217" i="47" s="1"/>
  <c r="I2768" i="47"/>
  <c r="I2925" i="47" s="1"/>
  <c r="I2776" i="47"/>
  <c r="I2933" i="47" s="1"/>
  <c r="I2784" i="47"/>
  <c r="I2941" i="47" s="1"/>
  <c r="I2792" i="47"/>
  <c r="I3165" i="47"/>
  <c r="I3180" i="47" s="1"/>
  <c r="I3405" i="47" s="1"/>
  <c r="I3167" i="47"/>
  <c r="I3182" i="47" s="1"/>
  <c r="I3407" i="47" s="1"/>
  <c r="I2870" i="47"/>
  <c r="I3300" i="47" s="1"/>
  <c r="I2811" i="47"/>
  <c r="I2957" i="47" s="1"/>
  <c r="I3205" i="47" s="1"/>
  <c r="I2849" i="47"/>
  <c r="I3260" i="47" s="1"/>
  <c r="I2817" i="47"/>
  <c r="I2963" i="47" s="1"/>
  <c r="I3211" i="47" s="1"/>
  <c r="I2839" i="47"/>
  <c r="I2979" i="47" s="1"/>
  <c r="I3242" i="47" s="1"/>
  <c r="I2866" i="47"/>
  <c r="I3000" i="47" s="1"/>
  <c r="I3287" i="47" s="1"/>
  <c r="I2865" i="47"/>
  <c r="I2999" i="47" s="1"/>
  <c r="I3286" i="47" s="1"/>
  <c r="I2816" i="47"/>
  <c r="I2962" i="47" s="1"/>
  <c r="I3210" i="47" s="1"/>
  <c r="I2841" i="47"/>
  <c r="I2981" i="47" s="1"/>
  <c r="I3244" i="47" s="1"/>
  <c r="I2846" i="47"/>
  <c r="I2986" i="47" s="1"/>
  <c r="I3249" i="47" s="1"/>
  <c r="I2815" i="47"/>
  <c r="I2961" i="47" s="1"/>
  <c r="I3209" i="47" s="1"/>
  <c r="I2864" i="47"/>
  <c r="I2998" i="47" s="1"/>
  <c r="I3285" i="47" s="1"/>
  <c r="I2810" i="47"/>
  <c r="I2956" i="47" s="1"/>
  <c r="I3204" i="47" s="1"/>
  <c r="I2845" i="47"/>
  <c r="I2985" i="47" s="1"/>
  <c r="I3248" i="47" s="1"/>
  <c r="I2844" i="47"/>
  <c r="I2984" i="47" s="1"/>
  <c r="I3247" i="47" s="1"/>
  <c r="I2812" i="47"/>
  <c r="I2958" i="47" s="1"/>
  <c r="I3206" i="47" s="1"/>
  <c r="I2821" i="47"/>
  <c r="I2822" i="47"/>
  <c r="I2806" i="47"/>
  <c r="I2952" i="47" s="1"/>
  <c r="I3200" i="47" s="1"/>
  <c r="I2867" i="47"/>
  <c r="I2818" i="47"/>
  <c r="I2804" i="47"/>
  <c r="I2950" i="47" s="1"/>
  <c r="I3198" i="47" s="1"/>
  <c r="I2847" i="47"/>
  <c r="I2819" i="47"/>
  <c r="I2820" i="47"/>
  <c r="F2818" i="47"/>
  <c r="F2848" i="47"/>
  <c r="F3258" i="47" s="1"/>
  <c r="F2823" i="47"/>
  <c r="F3220" i="47" s="1"/>
  <c r="F2840" i="47"/>
  <c r="F2980" i="47" s="1"/>
  <c r="F3243" i="47" s="1"/>
  <c r="F2770" i="47"/>
  <c r="F2927" i="47" s="1"/>
  <c r="F2769" i="47"/>
  <c r="F2926" i="47" s="1"/>
  <c r="F2777" i="47"/>
  <c r="F2934" i="47" s="1"/>
  <c r="F3109" i="47" s="1"/>
  <c r="F3121" i="47" s="1"/>
  <c r="F3392" i="47" s="1"/>
  <c r="F2778" i="47"/>
  <c r="F2935" i="47" s="1"/>
  <c r="F3110" i="47" s="1"/>
  <c r="F3122" i="47" s="1"/>
  <c r="F3393" i="47" s="1"/>
  <c r="F2776" i="47"/>
  <c r="F2933" i="47" s="1"/>
  <c r="F2791" i="47"/>
  <c r="F3223" i="47" s="1"/>
  <c r="F2792" i="47"/>
  <c r="F3167" i="47"/>
  <c r="F3182" i="47" s="1"/>
  <c r="F3407" i="47" s="1"/>
  <c r="F2849" i="47"/>
  <c r="F3260" i="47" s="1"/>
  <c r="F2772" i="47"/>
  <c r="F2929" i="47" s="1"/>
  <c r="F2771" i="47"/>
  <c r="F2928" i="47" s="1"/>
  <c r="F2781" i="47"/>
  <c r="F2938" i="47" s="1"/>
  <c r="F2782" i="47"/>
  <c r="F2939" i="47" s="1"/>
  <c r="F2779" i="47"/>
  <c r="F2936" i="47" s="1"/>
  <c r="F3111" i="47" s="1"/>
  <c r="F3123" i="47" s="1"/>
  <c r="F3394" i="47" s="1"/>
  <c r="F2780" i="47"/>
  <c r="F2937" i="47" s="1"/>
  <c r="F3162" i="47"/>
  <c r="F3177" i="47" s="1"/>
  <c r="F3402" i="47" s="1"/>
  <c r="F3163" i="47"/>
  <c r="F3178" i="47" s="1"/>
  <c r="F3403" i="47" s="1"/>
  <c r="F2868" i="47"/>
  <c r="F3296" i="47" s="1"/>
  <c r="F2870" i="47"/>
  <c r="F3300" i="47" s="1"/>
  <c r="F2824" i="47"/>
  <c r="F3222" i="47" s="1"/>
  <c r="F2766" i="47"/>
  <c r="F2923" i="47" s="1"/>
  <c r="F2774" i="47"/>
  <c r="F2931" i="47" s="1"/>
  <c r="F2773" i="47"/>
  <c r="F2930" i="47" s="1"/>
  <c r="F2785" i="47"/>
  <c r="F3217" i="47" s="1"/>
  <c r="F2786" i="47"/>
  <c r="F3218" i="47" s="1"/>
  <c r="F2783" i="47"/>
  <c r="F2940" i="47" s="1"/>
  <c r="F2784" i="47"/>
  <c r="F2941" i="47" s="1"/>
  <c r="F3164" i="47"/>
  <c r="F3179" i="47" s="1"/>
  <c r="F3404" i="47" s="1"/>
  <c r="F3165" i="47"/>
  <c r="F3180" i="47" s="1"/>
  <c r="F3405" i="47" s="1"/>
  <c r="F2850" i="47"/>
  <c r="F3262" i="47" s="1"/>
  <c r="F2768" i="47"/>
  <c r="F2925" i="47" s="1"/>
  <c r="F2767" i="47"/>
  <c r="F2924" i="47" s="1"/>
  <c r="F2775" i="47"/>
  <c r="F2932" i="47" s="1"/>
  <c r="F2789" i="47"/>
  <c r="F3221" i="47" s="1"/>
  <c r="F2790" i="47"/>
  <c r="F2787" i="47"/>
  <c r="F3219" i="47" s="1"/>
  <c r="F2788" i="47"/>
  <c r="F3166" i="47"/>
  <c r="F3181" i="47" s="1"/>
  <c r="F3406" i="47" s="1"/>
  <c r="F2811" i="47"/>
  <c r="F2957" i="47" s="1"/>
  <c r="F3205" i="47" s="1"/>
  <c r="F2825" i="47"/>
  <c r="F3224" i="47" s="1"/>
  <c r="F2869" i="47"/>
  <c r="F3298" i="47" s="1"/>
  <c r="F2812" i="47"/>
  <c r="F2958" i="47" s="1"/>
  <c r="F3206" i="47" s="1"/>
  <c r="F2844" i="47"/>
  <c r="F2984" i="47" s="1"/>
  <c r="F3247" i="47" s="1"/>
  <c r="F2817" i="47"/>
  <c r="F2963" i="47" s="1"/>
  <c r="F3211" i="47" s="1"/>
  <c r="F2815" i="47"/>
  <c r="F2961" i="47" s="1"/>
  <c r="F3209" i="47" s="1"/>
  <c r="F2816" i="47"/>
  <c r="F2962" i="47" s="1"/>
  <c r="F3210" i="47" s="1"/>
  <c r="F2841" i="47"/>
  <c r="F2981" i="47" s="1"/>
  <c r="F3244" i="47" s="1"/>
  <c r="F2865" i="47"/>
  <c r="F2999" i="47" s="1"/>
  <c r="F3286" i="47" s="1"/>
  <c r="F2839" i="47"/>
  <c r="F2979" i="47" s="1"/>
  <c r="F3242" i="47" s="1"/>
  <c r="F2845" i="47"/>
  <c r="F2985" i="47" s="1"/>
  <c r="F3248" i="47" s="1"/>
  <c r="F2866" i="47"/>
  <c r="F3000" i="47" s="1"/>
  <c r="F3287" i="47" s="1"/>
  <c r="F2846" i="47"/>
  <c r="F2986" i="47" s="1"/>
  <c r="F3249" i="47" s="1"/>
  <c r="F2810" i="47"/>
  <c r="F2956" i="47" s="1"/>
  <c r="F3204" i="47" s="1"/>
  <c r="F2864" i="47"/>
  <c r="F2998" i="47" s="1"/>
  <c r="F3285" i="47" s="1"/>
  <c r="F2822" i="47"/>
  <c r="F2867" i="47"/>
  <c r="F2820" i="47"/>
  <c r="F2821" i="47"/>
  <c r="F2847" i="47"/>
  <c r="F2819" i="47"/>
  <c r="D2773" i="47"/>
  <c r="D2930" i="47" s="1"/>
  <c r="D2770" i="47"/>
  <c r="D2927" i="47" s="1"/>
  <c r="D2778" i="47"/>
  <c r="D2935" i="47" s="1"/>
  <c r="D3110" i="47" s="1"/>
  <c r="D3122" i="47" s="1"/>
  <c r="D3393" i="47" s="1"/>
  <c r="D2779" i="47"/>
  <c r="D2936" i="47" s="1"/>
  <c r="D3111" i="47" s="1"/>
  <c r="D3123" i="47" s="1"/>
  <c r="D3394" i="47" s="1"/>
  <c r="D2780" i="47"/>
  <c r="D2937" i="47" s="1"/>
  <c r="D2789" i="47"/>
  <c r="D3221" i="47" s="1"/>
  <c r="D3167" i="47"/>
  <c r="D3182" i="47" s="1"/>
  <c r="D3407" i="47" s="1"/>
  <c r="D2824" i="47"/>
  <c r="D3222" i="47" s="1"/>
  <c r="D2849" i="47"/>
  <c r="D3260" i="47" s="1"/>
  <c r="D2870" i="47"/>
  <c r="D3300" i="47" s="1"/>
  <c r="D2767" i="47"/>
  <c r="D2924" i="47" s="1"/>
  <c r="D2775" i="47"/>
  <c r="D2932" i="47" s="1"/>
  <c r="D2772" i="47"/>
  <c r="D2929" i="47" s="1"/>
  <c r="D2782" i="47"/>
  <c r="D2939" i="47" s="1"/>
  <c r="D2783" i="47"/>
  <c r="D2940" i="47" s="1"/>
  <c r="D2784" i="47"/>
  <c r="D2941" i="47" s="1"/>
  <c r="D2777" i="47"/>
  <c r="D2934" i="47" s="1"/>
  <c r="D3109" i="47" s="1"/>
  <c r="D3121" i="47" s="1"/>
  <c r="D3392" i="47" s="1"/>
  <c r="D3166" i="47"/>
  <c r="D3181" i="47" s="1"/>
  <c r="D3406" i="47" s="1"/>
  <c r="D2850" i="47"/>
  <c r="D3262" i="47" s="1"/>
  <c r="D2848" i="47"/>
  <c r="D3258" i="47" s="1"/>
  <c r="D2769" i="47"/>
  <c r="D2926" i="47" s="1"/>
  <c r="D2766" i="47"/>
  <c r="D2923" i="47" s="1"/>
  <c r="D2774" i="47"/>
  <c r="D2931" i="47" s="1"/>
  <c r="D2786" i="47"/>
  <c r="D3218" i="47" s="1"/>
  <c r="D2787" i="47"/>
  <c r="D3219" i="47" s="1"/>
  <c r="D2788" i="47"/>
  <c r="D2781" i="47"/>
  <c r="D2938" i="47" s="1"/>
  <c r="D3163" i="47"/>
  <c r="D3178" i="47" s="1"/>
  <c r="D3403" i="47" s="1"/>
  <c r="D3162" i="47"/>
  <c r="D3177" i="47" s="1"/>
  <c r="D3402" i="47" s="1"/>
  <c r="D2840" i="47"/>
  <c r="D2980" i="47" s="1"/>
  <c r="D3243" i="47" s="1"/>
  <c r="D2771" i="47"/>
  <c r="D2928" i="47" s="1"/>
  <c r="D2768" i="47"/>
  <c r="D2925" i="47" s="1"/>
  <c r="D2776" i="47"/>
  <c r="D2933" i="47" s="1"/>
  <c r="D2790" i="47"/>
  <c r="D2791" i="47"/>
  <c r="D3223" i="47" s="1"/>
  <c r="D2792" i="47"/>
  <c r="D2785" i="47"/>
  <c r="D3217" i="47" s="1"/>
  <c r="D3165" i="47"/>
  <c r="D3180" i="47" s="1"/>
  <c r="D3405" i="47" s="1"/>
  <c r="D3164" i="47"/>
  <c r="D3179" i="47" s="1"/>
  <c r="D3404" i="47" s="1"/>
  <c r="D2811" i="47"/>
  <c r="D2957" i="47" s="1"/>
  <c r="D3205" i="47" s="1"/>
  <c r="D2868" i="47"/>
  <c r="D3296" i="47" s="1"/>
  <c r="D2823" i="47"/>
  <c r="D3220" i="47" s="1"/>
  <c r="D2869" i="47"/>
  <c r="D3298" i="47" s="1"/>
  <c r="D2825" i="47"/>
  <c r="D3224" i="47" s="1"/>
  <c r="D2844" i="47"/>
  <c r="D2984" i="47" s="1"/>
  <c r="D3247" i="47" s="1"/>
  <c r="D2845" i="47"/>
  <c r="D2985" i="47" s="1"/>
  <c r="D3248" i="47" s="1"/>
  <c r="D2815" i="47"/>
  <c r="D2961" i="47" s="1"/>
  <c r="D3209" i="47" s="1"/>
  <c r="D2866" i="47"/>
  <c r="D3000" i="47" s="1"/>
  <c r="D3287" i="47" s="1"/>
  <c r="D2816" i="47"/>
  <c r="D2962" i="47" s="1"/>
  <c r="D3210" i="47" s="1"/>
  <c r="D2817" i="47"/>
  <c r="D2963" i="47" s="1"/>
  <c r="D3211" i="47" s="1"/>
  <c r="D2812" i="47"/>
  <c r="D2958" i="47" s="1"/>
  <c r="D3206" i="47" s="1"/>
  <c r="D2841" i="47"/>
  <c r="D2981" i="47" s="1"/>
  <c r="D3244" i="47" s="1"/>
  <c r="D2864" i="47"/>
  <c r="D2998" i="47" s="1"/>
  <c r="D3285" i="47" s="1"/>
  <c r="D2839" i="47"/>
  <c r="D2979" i="47" s="1"/>
  <c r="D3242" i="47" s="1"/>
  <c r="D2810" i="47"/>
  <c r="D2956" i="47" s="1"/>
  <c r="D3204" i="47" s="1"/>
  <c r="D2865" i="47"/>
  <c r="D2999" i="47" s="1"/>
  <c r="D3286" i="47" s="1"/>
  <c r="D2846" i="47"/>
  <c r="D2986" i="47" s="1"/>
  <c r="D3249" i="47" s="1"/>
  <c r="D2867" i="47"/>
  <c r="D2821" i="47"/>
  <c r="D2818" i="47"/>
  <c r="D2822" i="47"/>
  <c r="D2819" i="47"/>
  <c r="D2820" i="47"/>
  <c r="D2847" i="47"/>
  <c r="D2882" i="47"/>
  <c r="E2839" i="47"/>
  <c r="E2979" i="47" s="1"/>
  <c r="E3242" i="47" s="1"/>
  <c r="E2811" i="47"/>
  <c r="E2957" i="47" s="1"/>
  <c r="E3205" i="47" s="1"/>
  <c r="E2850" i="47"/>
  <c r="E3262" i="47" s="1"/>
  <c r="E2849" i="47"/>
  <c r="E3260" i="47" s="1"/>
  <c r="E2769" i="47"/>
  <c r="E2926" i="47" s="1"/>
  <c r="E2777" i="47"/>
  <c r="E2934" i="47" s="1"/>
  <c r="E3109" i="47" s="1"/>
  <c r="E3121" i="47" s="1"/>
  <c r="E3392" i="47" s="1"/>
  <c r="E2785" i="47"/>
  <c r="E3217" i="47" s="1"/>
  <c r="E2770" i="47"/>
  <c r="E2927" i="47" s="1"/>
  <c r="E2778" i="47"/>
  <c r="E2935" i="47" s="1"/>
  <c r="E3110" i="47" s="1"/>
  <c r="E3122" i="47" s="1"/>
  <c r="E3393" i="47" s="1"/>
  <c r="E2786" i="47"/>
  <c r="E3218" i="47" s="1"/>
  <c r="E3167" i="47"/>
  <c r="E3182" i="47" s="1"/>
  <c r="E3407" i="47" s="1"/>
  <c r="E2823" i="47"/>
  <c r="E3220" i="47" s="1"/>
  <c r="E2771" i="47"/>
  <c r="E2928" i="47" s="1"/>
  <c r="E2779" i="47"/>
  <c r="E2936" i="47" s="1"/>
  <c r="E3111" i="47" s="1"/>
  <c r="E3123" i="47" s="1"/>
  <c r="E3394" i="47" s="1"/>
  <c r="E2787" i="47"/>
  <c r="E3219" i="47" s="1"/>
  <c r="E2772" i="47"/>
  <c r="E2929" i="47" s="1"/>
  <c r="E2780" i="47"/>
  <c r="E2937" i="47" s="1"/>
  <c r="E2788" i="47"/>
  <c r="E3163" i="47"/>
  <c r="E3178" i="47" s="1"/>
  <c r="E3403" i="47" s="1"/>
  <c r="E2869" i="47"/>
  <c r="E3298" i="47" s="1"/>
  <c r="E2848" i="47"/>
  <c r="E3258" i="47" s="1"/>
  <c r="E2773" i="47"/>
  <c r="E2930" i="47" s="1"/>
  <c r="E2781" i="47"/>
  <c r="E2938" i="47" s="1"/>
  <c r="E2789" i="47"/>
  <c r="E3221" i="47" s="1"/>
  <c r="E2766" i="47"/>
  <c r="E2923" i="47" s="1"/>
  <c r="E2774" i="47"/>
  <c r="E2931" i="47" s="1"/>
  <c r="E2782" i="47"/>
  <c r="E2939" i="47" s="1"/>
  <c r="E2790" i="47"/>
  <c r="E3162" i="47"/>
  <c r="E3177" i="47" s="1"/>
  <c r="E3402" i="47" s="1"/>
  <c r="E3165" i="47"/>
  <c r="E3180" i="47" s="1"/>
  <c r="E3405" i="47" s="1"/>
  <c r="E2825" i="47"/>
  <c r="E3224" i="47" s="1"/>
  <c r="E2840" i="47"/>
  <c r="E2980" i="47" s="1"/>
  <c r="E3243" i="47" s="1"/>
  <c r="E2870" i="47"/>
  <c r="E3300" i="47" s="1"/>
  <c r="E2824" i="47"/>
  <c r="E3222" i="47" s="1"/>
  <c r="E2868" i="47"/>
  <c r="E3296" i="47" s="1"/>
  <c r="E2767" i="47"/>
  <c r="E2924" i="47" s="1"/>
  <c r="E2775" i="47"/>
  <c r="E2932" i="47" s="1"/>
  <c r="E2783" i="47"/>
  <c r="E2940" i="47" s="1"/>
  <c r="E2791" i="47"/>
  <c r="E3223" i="47" s="1"/>
  <c r="E2768" i="47"/>
  <c r="E2925" i="47" s="1"/>
  <c r="E2776" i="47"/>
  <c r="E2933" i="47" s="1"/>
  <c r="E2784" i="47"/>
  <c r="E2941" i="47" s="1"/>
  <c r="E2792" i="47"/>
  <c r="E3164" i="47"/>
  <c r="E3179" i="47" s="1"/>
  <c r="E3404" i="47" s="1"/>
  <c r="E3166" i="47"/>
  <c r="E3181" i="47" s="1"/>
  <c r="E3406" i="47" s="1"/>
  <c r="E2864" i="47"/>
  <c r="E2998" i="47" s="1"/>
  <c r="E3285" i="47" s="1"/>
  <c r="E2841" i="47"/>
  <c r="E2981" i="47" s="1"/>
  <c r="E3244" i="47" s="1"/>
  <c r="E2817" i="47"/>
  <c r="E2963" i="47" s="1"/>
  <c r="E3211" i="47" s="1"/>
  <c r="E2846" i="47"/>
  <c r="E2986" i="47" s="1"/>
  <c r="E3249" i="47" s="1"/>
  <c r="E2844" i="47"/>
  <c r="E2984" i="47" s="1"/>
  <c r="E3247" i="47" s="1"/>
  <c r="E2845" i="47"/>
  <c r="E2985" i="47" s="1"/>
  <c r="E3248" i="47" s="1"/>
  <c r="E2810" i="47"/>
  <c r="E2956" i="47" s="1"/>
  <c r="E3204" i="47" s="1"/>
  <c r="E2812" i="47"/>
  <c r="E2958" i="47" s="1"/>
  <c r="E3206" i="47" s="1"/>
  <c r="E2866" i="47"/>
  <c r="E3000" i="47" s="1"/>
  <c r="E3287" i="47" s="1"/>
  <c r="E2865" i="47"/>
  <c r="E2999" i="47" s="1"/>
  <c r="E3286" i="47" s="1"/>
  <c r="E2815" i="47"/>
  <c r="E2961" i="47" s="1"/>
  <c r="E3209" i="47" s="1"/>
  <c r="E2816" i="47"/>
  <c r="E2962" i="47" s="1"/>
  <c r="E3210" i="47" s="1"/>
  <c r="E2819" i="47"/>
  <c r="E2822" i="47"/>
  <c r="E2820" i="47"/>
  <c r="E2818" i="47"/>
  <c r="E2867" i="47"/>
  <c r="E2821" i="47"/>
  <c r="E2804" i="47"/>
  <c r="E2950" i="47" s="1"/>
  <c r="E3198" i="47" s="1"/>
  <c r="E2847" i="47"/>
  <c r="E2806" i="47"/>
  <c r="E2952" i="47" s="1"/>
  <c r="E3200" i="47" s="1"/>
  <c r="J2818" i="47"/>
  <c r="J2849" i="47"/>
  <c r="J3260" i="47" s="1"/>
  <c r="J2850" i="47"/>
  <c r="J3262" i="47" s="1"/>
  <c r="J2766" i="47"/>
  <c r="J2923" i="47" s="1"/>
  <c r="J2774" i="47"/>
  <c r="J2931" i="47" s="1"/>
  <c r="J2773" i="47"/>
  <c r="J2930" i="47" s="1"/>
  <c r="J2787" i="47"/>
  <c r="J3219" i="47" s="1"/>
  <c r="J2788" i="47"/>
  <c r="J2785" i="47"/>
  <c r="J3217" i="47" s="1"/>
  <c r="J2782" i="47"/>
  <c r="J2939" i="47" s="1"/>
  <c r="J3164" i="47"/>
  <c r="J3179" i="47" s="1"/>
  <c r="J3404" i="47" s="1"/>
  <c r="J3165" i="47"/>
  <c r="J3180" i="47" s="1"/>
  <c r="J3405" i="47" s="1"/>
  <c r="J2824" i="47"/>
  <c r="J3222" i="47" s="1"/>
  <c r="J2811" i="47"/>
  <c r="J2957" i="47" s="1"/>
  <c r="J3205" i="47" s="1"/>
  <c r="J2868" i="47"/>
  <c r="J3296" i="47" s="1"/>
  <c r="J2768" i="47"/>
  <c r="J2925" i="47" s="1"/>
  <c r="J2767" i="47"/>
  <c r="J2924" i="47" s="1"/>
  <c r="J2775" i="47"/>
  <c r="J2932" i="47" s="1"/>
  <c r="J2791" i="47"/>
  <c r="J3223" i="47" s="1"/>
  <c r="J2792" i="47"/>
  <c r="J2789" i="47"/>
  <c r="J3221" i="47" s="1"/>
  <c r="J2786" i="47"/>
  <c r="J3218" i="47" s="1"/>
  <c r="J3166" i="47"/>
  <c r="J3181" i="47" s="1"/>
  <c r="J3406" i="47" s="1"/>
  <c r="J2869" i="47"/>
  <c r="J3298" i="47" s="1"/>
  <c r="J2870" i="47"/>
  <c r="J3300" i="47" s="1"/>
  <c r="J2848" i="47"/>
  <c r="J3258" i="47" s="1"/>
  <c r="J2770" i="47"/>
  <c r="J2927" i="47" s="1"/>
  <c r="J2769" i="47"/>
  <c r="J2926" i="47" s="1"/>
  <c r="J2779" i="47"/>
  <c r="J2936" i="47" s="1"/>
  <c r="J3111" i="47" s="1"/>
  <c r="J3123" i="47" s="1"/>
  <c r="J3394" i="47" s="1"/>
  <c r="J2780" i="47"/>
  <c r="J2937" i="47" s="1"/>
  <c r="J2777" i="47"/>
  <c r="J2934" i="47" s="1"/>
  <c r="J3109" i="47" s="1"/>
  <c r="J3121" i="47" s="1"/>
  <c r="J3392" i="47" s="1"/>
  <c r="J2776" i="47"/>
  <c r="J2933" i="47" s="1"/>
  <c r="J2790" i="47"/>
  <c r="J3167" i="47"/>
  <c r="J3182" i="47" s="1"/>
  <c r="J3407" i="47" s="1"/>
  <c r="J2772" i="47"/>
  <c r="J2929" i="47" s="1"/>
  <c r="J2771" i="47"/>
  <c r="J2928" i="47" s="1"/>
  <c r="J2783" i="47"/>
  <c r="J2940" i="47" s="1"/>
  <c r="J2784" i="47"/>
  <c r="J2941" i="47" s="1"/>
  <c r="J2781" i="47"/>
  <c r="J2938" i="47" s="1"/>
  <c r="J2778" i="47"/>
  <c r="J2935" i="47" s="1"/>
  <c r="J3110" i="47" s="1"/>
  <c r="J3122" i="47" s="1"/>
  <c r="J3393" i="47" s="1"/>
  <c r="J3162" i="47"/>
  <c r="J3177" i="47" s="1"/>
  <c r="J3402" i="47" s="1"/>
  <c r="J3163" i="47"/>
  <c r="J3178" i="47" s="1"/>
  <c r="J3403" i="47" s="1"/>
  <c r="J2825" i="47"/>
  <c r="J3224" i="47" s="1"/>
  <c r="J2840" i="47"/>
  <c r="J2980" i="47" s="1"/>
  <c r="J3243" i="47" s="1"/>
  <c r="J2823" i="47"/>
  <c r="J3220" i="47" s="1"/>
  <c r="J2839" i="47"/>
  <c r="J2979" i="47" s="1"/>
  <c r="J3242" i="47" s="1"/>
  <c r="J2817" i="47"/>
  <c r="J2963" i="47" s="1"/>
  <c r="J3211" i="47" s="1"/>
  <c r="J2846" i="47"/>
  <c r="J2986" i="47" s="1"/>
  <c r="J3249" i="47" s="1"/>
  <c r="J2844" i="47"/>
  <c r="J2984" i="47" s="1"/>
  <c r="J3247" i="47" s="1"/>
  <c r="J2841" i="47"/>
  <c r="J2981" i="47" s="1"/>
  <c r="J3244" i="47" s="1"/>
  <c r="J2866" i="47"/>
  <c r="J3000" i="47" s="1"/>
  <c r="J3287" i="47" s="1"/>
  <c r="J2810" i="47"/>
  <c r="J2956" i="47" s="1"/>
  <c r="J3204" i="47" s="1"/>
  <c r="J2845" i="47"/>
  <c r="J2985" i="47" s="1"/>
  <c r="J3248" i="47" s="1"/>
  <c r="J2812" i="47"/>
  <c r="J2958" i="47" s="1"/>
  <c r="J3206" i="47" s="1"/>
  <c r="J2816" i="47"/>
  <c r="J2962" i="47" s="1"/>
  <c r="J3210" i="47" s="1"/>
  <c r="J2815" i="47"/>
  <c r="J2961" i="47" s="1"/>
  <c r="J3209" i="47" s="1"/>
  <c r="J2865" i="47"/>
  <c r="J2999" i="47" s="1"/>
  <c r="J3286" i="47" s="1"/>
  <c r="J2864" i="47"/>
  <c r="J2998" i="47" s="1"/>
  <c r="J3285" i="47" s="1"/>
  <c r="J2820" i="47"/>
  <c r="J2821" i="47"/>
  <c r="J2847" i="47"/>
  <c r="J2822" i="47"/>
  <c r="J2804" i="47"/>
  <c r="J2950" i="47" s="1"/>
  <c r="J3198" i="47" s="1"/>
  <c r="J2867" i="47"/>
  <c r="J2819" i="47"/>
  <c r="J2806" i="47"/>
  <c r="J2952" i="47" s="1"/>
  <c r="J3200" i="47" s="1"/>
  <c r="I2882" i="47"/>
  <c r="G2766" i="47"/>
  <c r="G2923" i="47" s="1"/>
  <c r="G2774" i="47"/>
  <c r="G2931" i="47" s="1"/>
  <c r="G2782" i="47"/>
  <c r="G2939" i="47" s="1"/>
  <c r="G2790" i="47"/>
  <c r="G2773" i="47"/>
  <c r="G2930" i="47" s="1"/>
  <c r="G2781" i="47"/>
  <c r="G2938" i="47" s="1"/>
  <c r="G2789" i="47"/>
  <c r="G3221" i="47" s="1"/>
  <c r="G3162" i="47"/>
  <c r="G3177" i="47" s="1"/>
  <c r="G3402" i="47" s="1"/>
  <c r="G3165" i="47"/>
  <c r="G3180" i="47" s="1"/>
  <c r="G3405" i="47" s="1"/>
  <c r="G2825" i="47"/>
  <c r="G3224" i="47" s="1"/>
  <c r="G2869" i="47"/>
  <c r="G3298" i="47" s="1"/>
  <c r="G2840" i="47"/>
  <c r="G2980" i="47" s="1"/>
  <c r="G3243" i="47" s="1"/>
  <c r="G2849" i="47"/>
  <c r="G3260" i="47" s="1"/>
  <c r="G2768" i="47"/>
  <c r="G2925" i="47" s="1"/>
  <c r="G2776" i="47"/>
  <c r="G2933" i="47" s="1"/>
  <c r="G2784" i="47"/>
  <c r="G2941" i="47" s="1"/>
  <c r="G2792" i="47"/>
  <c r="G2767" i="47"/>
  <c r="G2924" i="47" s="1"/>
  <c r="G2775" i="47"/>
  <c r="G2932" i="47" s="1"/>
  <c r="G2783" i="47"/>
  <c r="G2940" i="47" s="1"/>
  <c r="G2791" i="47"/>
  <c r="G3223" i="47" s="1"/>
  <c r="G3164" i="47"/>
  <c r="G3179" i="47" s="1"/>
  <c r="G3404" i="47" s="1"/>
  <c r="G2850" i="47"/>
  <c r="G3262" i="47" s="1"/>
  <c r="G2848" i="47"/>
  <c r="G3258" i="47" s="1"/>
  <c r="G2811" i="47"/>
  <c r="G2957" i="47" s="1"/>
  <c r="G3205" i="47" s="1"/>
  <c r="G2770" i="47"/>
  <c r="G2927" i="47" s="1"/>
  <c r="G2778" i="47"/>
  <c r="G2935" i="47" s="1"/>
  <c r="G3110" i="47" s="1"/>
  <c r="G3122" i="47" s="1"/>
  <c r="G3393" i="47" s="1"/>
  <c r="G2786" i="47"/>
  <c r="G3218" i="47" s="1"/>
  <c r="G2769" i="47"/>
  <c r="G2926" i="47" s="1"/>
  <c r="G2777" i="47"/>
  <c r="G2934" i="47" s="1"/>
  <c r="G3109" i="47" s="1"/>
  <c r="G3121" i="47" s="1"/>
  <c r="G3392" i="47" s="1"/>
  <c r="G2785" i="47"/>
  <c r="G3217" i="47" s="1"/>
  <c r="G3167" i="47"/>
  <c r="G3182" i="47" s="1"/>
  <c r="G3407" i="47" s="1"/>
  <c r="G2868" i="47"/>
  <c r="G3296" i="47" s="1"/>
  <c r="G2772" i="47"/>
  <c r="G2929" i="47" s="1"/>
  <c r="G2780" i="47"/>
  <c r="G2937" i="47" s="1"/>
  <c r="G2788" i="47"/>
  <c r="G2771" i="47"/>
  <c r="G2928" i="47" s="1"/>
  <c r="G2779" i="47"/>
  <c r="G2936" i="47" s="1"/>
  <c r="G3111" i="47" s="1"/>
  <c r="G3123" i="47" s="1"/>
  <c r="G3394" i="47" s="1"/>
  <c r="G2787" i="47"/>
  <c r="G3219" i="47" s="1"/>
  <c r="G3166" i="47"/>
  <c r="G3181" i="47" s="1"/>
  <c r="G3406" i="47" s="1"/>
  <c r="G3163" i="47"/>
  <c r="G3178" i="47" s="1"/>
  <c r="G3403" i="47" s="1"/>
  <c r="G2870" i="47"/>
  <c r="G3300" i="47" s="1"/>
  <c r="G2824" i="47"/>
  <c r="G3222" i="47" s="1"/>
  <c r="G2823" i="47"/>
  <c r="G3220" i="47" s="1"/>
  <c r="G2866" i="47"/>
  <c r="G3000" i="47" s="1"/>
  <c r="G3287" i="47" s="1"/>
  <c r="G2865" i="47"/>
  <c r="G2999" i="47" s="1"/>
  <c r="G3286" i="47" s="1"/>
  <c r="G2841" i="47"/>
  <c r="G2981" i="47" s="1"/>
  <c r="G3244" i="47" s="1"/>
  <c r="G2810" i="47"/>
  <c r="G2956" i="47" s="1"/>
  <c r="G3204" i="47" s="1"/>
  <c r="G2816" i="47"/>
  <c r="G2962" i="47" s="1"/>
  <c r="G3210" i="47" s="1"/>
  <c r="G2845" i="47"/>
  <c r="G2985" i="47" s="1"/>
  <c r="G3248" i="47" s="1"/>
  <c r="G2844" i="47"/>
  <c r="G2984" i="47" s="1"/>
  <c r="G3247" i="47" s="1"/>
  <c r="G2815" i="47"/>
  <c r="G2961" i="47" s="1"/>
  <c r="G3209" i="47" s="1"/>
  <c r="G2864" i="47"/>
  <c r="G2998" i="47" s="1"/>
  <c r="G3285" i="47" s="1"/>
  <c r="G2812" i="47"/>
  <c r="G2958" i="47" s="1"/>
  <c r="G3206" i="47" s="1"/>
  <c r="G2817" i="47"/>
  <c r="G2963" i="47" s="1"/>
  <c r="G3211" i="47" s="1"/>
  <c r="G2839" i="47"/>
  <c r="G2979" i="47" s="1"/>
  <c r="G3242" i="47" s="1"/>
  <c r="G2846" i="47"/>
  <c r="G2986" i="47" s="1"/>
  <c r="G3249" i="47" s="1"/>
  <c r="G2821" i="47"/>
  <c r="G2818" i="47"/>
  <c r="G2822" i="47"/>
  <c r="G2804" i="47"/>
  <c r="G2950" i="47" s="1"/>
  <c r="G3198" i="47" s="1"/>
  <c r="G2867" i="47"/>
  <c r="G2847" i="47"/>
  <c r="G2820" i="47"/>
  <c r="G2819" i="47"/>
  <c r="G2806" i="47"/>
  <c r="G2952" i="47" s="1"/>
  <c r="G3200" i="47" s="1"/>
  <c r="G2882" i="47"/>
  <c r="H2773" i="47"/>
  <c r="H2930" i="47" s="1"/>
  <c r="H2772" i="47"/>
  <c r="H2929" i="47" s="1"/>
  <c r="H2784" i="47"/>
  <c r="H2941" i="47" s="1"/>
  <c r="H2777" i="47"/>
  <c r="H2934" i="47" s="1"/>
  <c r="H3109" i="47" s="1"/>
  <c r="H3121" i="47" s="1"/>
  <c r="H3392" i="47" s="1"/>
  <c r="H2786" i="47"/>
  <c r="H3218" i="47" s="1"/>
  <c r="H2787" i="47"/>
  <c r="H3219" i="47" s="1"/>
  <c r="H3167" i="47"/>
  <c r="H3182" i="47" s="1"/>
  <c r="H3407" i="47" s="1"/>
  <c r="H2870" i="47"/>
  <c r="H3300" i="47" s="1"/>
  <c r="H2869" i="47"/>
  <c r="H3298" i="47" s="1"/>
  <c r="H2767" i="47"/>
  <c r="H2924" i="47" s="1"/>
  <c r="H2766" i="47"/>
  <c r="H2923" i="47" s="1"/>
  <c r="H2774" i="47"/>
  <c r="H2931" i="47" s="1"/>
  <c r="H2788" i="47"/>
  <c r="H2781" i="47"/>
  <c r="H2938" i="47" s="1"/>
  <c r="H2775" i="47"/>
  <c r="H2932" i="47" s="1"/>
  <c r="H2790" i="47"/>
  <c r="H2791" i="47"/>
  <c r="H3223" i="47" s="1"/>
  <c r="H3166" i="47"/>
  <c r="H3181" i="47" s="1"/>
  <c r="H3406" i="47" s="1"/>
  <c r="H2840" i="47"/>
  <c r="H2980" i="47" s="1"/>
  <c r="H3243" i="47" s="1"/>
  <c r="H2848" i="47"/>
  <c r="H3258" i="47" s="1"/>
  <c r="H2769" i="47"/>
  <c r="H2926" i="47" s="1"/>
  <c r="H2768" i="47"/>
  <c r="H2925" i="47" s="1"/>
  <c r="H2776" i="47"/>
  <c r="H2933" i="47" s="1"/>
  <c r="H2792" i="47"/>
  <c r="H2785" i="47"/>
  <c r="H3217" i="47" s="1"/>
  <c r="H2778" i="47"/>
  <c r="H2935" i="47" s="1"/>
  <c r="H3110" i="47" s="1"/>
  <c r="H3122" i="47" s="1"/>
  <c r="H3393" i="47" s="1"/>
  <c r="H2779" i="47"/>
  <c r="H2936" i="47" s="1"/>
  <c r="H3111" i="47" s="1"/>
  <c r="H3123" i="47" s="1"/>
  <c r="H3394" i="47" s="1"/>
  <c r="H3163" i="47"/>
  <c r="H3178" i="47" s="1"/>
  <c r="H3403" i="47" s="1"/>
  <c r="H3162" i="47"/>
  <c r="H3177" i="47" s="1"/>
  <c r="H3402" i="47" s="1"/>
  <c r="H2850" i="47"/>
  <c r="H3262" i="47" s="1"/>
  <c r="H2824" i="47"/>
  <c r="H3222" i="47" s="1"/>
  <c r="H2823" i="47"/>
  <c r="H3220" i="47" s="1"/>
  <c r="H2771" i="47"/>
  <c r="H2928" i="47" s="1"/>
  <c r="H2770" i="47"/>
  <c r="H2927" i="47" s="1"/>
  <c r="H2780" i="47"/>
  <c r="H2937" i="47" s="1"/>
  <c r="H2789" i="47"/>
  <c r="H3221" i="47" s="1"/>
  <c r="H2782" i="47"/>
  <c r="H2939" i="47" s="1"/>
  <c r="H2783" i="47"/>
  <c r="H2940" i="47" s="1"/>
  <c r="H3165" i="47"/>
  <c r="H3180" i="47" s="1"/>
  <c r="H3405" i="47" s="1"/>
  <c r="H3164" i="47"/>
  <c r="H3179" i="47" s="1"/>
  <c r="H3404" i="47" s="1"/>
  <c r="H2825" i="47"/>
  <c r="H3224" i="47" s="1"/>
  <c r="H2868" i="47"/>
  <c r="H3296" i="47" s="1"/>
  <c r="H2811" i="47"/>
  <c r="H2957" i="47" s="1"/>
  <c r="H3205" i="47" s="1"/>
  <c r="H2849" i="47"/>
  <c r="H3260" i="47" s="1"/>
  <c r="H2839" i="47"/>
  <c r="H2979" i="47" s="1"/>
  <c r="H3242" i="47" s="1"/>
  <c r="H2845" i="47"/>
  <c r="H2985" i="47" s="1"/>
  <c r="H3248" i="47" s="1"/>
  <c r="H2866" i="47"/>
  <c r="H3000" i="47" s="1"/>
  <c r="H3287" i="47" s="1"/>
  <c r="H2844" i="47"/>
  <c r="H2984" i="47" s="1"/>
  <c r="H3247" i="47" s="1"/>
  <c r="H2864" i="47"/>
  <c r="H2998" i="47" s="1"/>
  <c r="H3285" i="47" s="1"/>
  <c r="H2812" i="47"/>
  <c r="H2958" i="47" s="1"/>
  <c r="H3206" i="47" s="1"/>
  <c r="H2815" i="47"/>
  <c r="H2961" i="47" s="1"/>
  <c r="H3209" i="47" s="1"/>
  <c r="H2841" i="47"/>
  <c r="H2981" i="47" s="1"/>
  <c r="H3244" i="47" s="1"/>
  <c r="H2816" i="47"/>
  <c r="H2962" i="47" s="1"/>
  <c r="H3210" i="47" s="1"/>
  <c r="H2846" i="47"/>
  <c r="H2986" i="47" s="1"/>
  <c r="H3249" i="47" s="1"/>
  <c r="H2817" i="47"/>
  <c r="H2963" i="47" s="1"/>
  <c r="H3211" i="47" s="1"/>
  <c r="H2865" i="47"/>
  <c r="H2999" i="47" s="1"/>
  <c r="H3286" i="47" s="1"/>
  <c r="H2810" i="47"/>
  <c r="H2956" i="47" s="1"/>
  <c r="H3204" i="47" s="1"/>
  <c r="H2867" i="47"/>
  <c r="H2820" i="47"/>
  <c r="H2822" i="47"/>
  <c r="H2847" i="47"/>
  <c r="H2821" i="47"/>
  <c r="H2818" i="47"/>
  <c r="H2819" i="47"/>
  <c r="F2808" i="47"/>
  <c r="F2954" i="47" s="1"/>
  <c r="F3202" i="47" s="1"/>
  <c r="F2133" i="47"/>
  <c r="F2211" i="47" s="1"/>
  <c r="F2380" i="47" s="1"/>
  <c r="D2842" i="47"/>
  <c r="D2982" i="47" s="1"/>
  <c r="D3245" i="47" s="1"/>
  <c r="C2808" i="47"/>
  <c r="C2954" i="47" s="1"/>
  <c r="C3202" i="47" s="1"/>
  <c r="C2133" i="47"/>
  <c r="C2211" i="47" s="1"/>
  <c r="C2380" i="47" s="1"/>
  <c r="D151" i="35"/>
  <c r="E151" i="35"/>
  <c r="F151" i="35"/>
  <c r="C151" i="35"/>
  <c r="B151" i="35"/>
  <c r="C151" i="36"/>
  <c r="G151" i="36"/>
  <c r="G151" i="35"/>
  <c r="E151" i="36"/>
  <c r="B151" i="36"/>
  <c r="D151" i="37"/>
  <c r="D151" i="36"/>
  <c r="F151" i="36"/>
  <c r="B151" i="37"/>
  <c r="F151" i="37"/>
  <c r="G151" i="37"/>
  <c r="C151" i="37"/>
  <c r="B151" i="38"/>
  <c r="F151" i="38"/>
  <c r="E151" i="37"/>
  <c r="C151" i="38"/>
  <c r="G151" i="38"/>
  <c r="E151" i="34"/>
  <c r="D151" i="38"/>
  <c r="E151" i="38"/>
  <c r="D151" i="34"/>
  <c r="C151" i="34"/>
  <c r="F151" i="34"/>
  <c r="G151" i="34"/>
  <c r="B151" i="34"/>
  <c r="B117" i="41"/>
  <c r="I2808" i="47"/>
  <c r="I2954" i="47" s="1"/>
  <c r="I3202" i="47" s="1"/>
  <c r="I2133" i="47"/>
  <c r="I2211" i="47" s="1"/>
  <c r="I2380" i="47" s="1"/>
  <c r="H2814" i="47"/>
  <c r="H2960" i="47" s="1"/>
  <c r="H3208" i="47" s="1"/>
  <c r="H2152" i="47"/>
  <c r="H2217" i="47" s="1"/>
  <c r="H2386" i="47" s="1"/>
  <c r="B2838" i="47"/>
  <c r="B2978" i="47" s="1"/>
  <c r="B3240" i="47" s="1"/>
  <c r="H2837" i="47"/>
  <c r="H2977" i="47" s="1"/>
  <c r="H3237" i="47" s="1"/>
  <c r="B2814" i="47"/>
  <c r="B2960" i="47" s="1"/>
  <c r="B3208" i="47" s="1"/>
  <c r="J2863" i="47"/>
  <c r="J2997" i="47" s="1"/>
  <c r="J3284" i="47" s="1"/>
  <c r="J2838" i="47"/>
  <c r="J2978" i="47" s="1"/>
  <c r="J3240" i="47" s="1"/>
  <c r="D2837" i="47"/>
  <c r="D2977" i="47" s="1"/>
  <c r="D3237" i="47" s="1"/>
  <c r="C2814" i="47"/>
  <c r="C2960" i="47" s="1"/>
  <c r="C3208" i="47" s="1"/>
  <c r="C2152" i="47"/>
  <c r="C2217" i="47" s="1"/>
  <c r="C2386" i="47" s="1"/>
  <c r="E2808" i="47"/>
  <c r="E2954" i="47" s="1"/>
  <c r="E3202" i="47" s="1"/>
  <c r="E2133" i="47"/>
  <c r="E2211" i="47" s="1"/>
  <c r="E2380" i="47" s="1"/>
  <c r="G2843" i="47"/>
  <c r="G2983" i="47" s="1"/>
  <c r="G3246" i="47" s="1"/>
  <c r="F2805" i="47"/>
  <c r="F2951" i="47" s="1"/>
  <c r="F3199" i="47" s="1"/>
  <c r="F2132" i="47"/>
  <c r="F2208" i="47" s="1"/>
  <c r="F2377" i="47" s="1"/>
  <c r="F2838" i="47"/>
  <c r="F2978" i="47" s="1"/>
  <c r="F3240" i="47" s="1"/>
  <c r="D2813" i="47"/>
  <c r="D2959" i="47" s="1"/>
  <c r="D3207" i="47" s="1"/>
  <c r="D2151" i="47"/>
  <c r="D2216" i="47" s="1"/>
  <c r="D2385" i="47" s="1"/>
  <c r="H2376" i="47"/>
  <c r="I2814" i="47"/>
  <c r="I2960" i="47" s="1"/>
  <c r="I3208" i="47" s="1"/>
  <c r="I2152" i="47"/>
  <c r="I2217" i="47" s="1"/>
  <c r="I2386" i="47" s="1"/>
  <c r="D2838" i="47"/>
  <c r="D2978" i="47" s="1"/>
  <c r="D3240" i="47" s="1"/>
  <c r="E2814" i="47"/>
  <c r="E2960" i="47" s="1"/>
  <c r="E3208" i="47" s="1"/>
  <c r="E2152" i="47"/>
  <c r="E2217" i="47" s="1"/>
  <c r="E2386" i="47" s="1"/>
  <c r="H2805" i="47"/>
  <c r="H2951" i="47" s="1"/>
  <c r="H3199" i="47" s="1"/>
  <c r="H2132" i="47"/>
  <c r="H2208" i="47" s="1"/>
  <c r="H2377" i="47" s="1"/>
  <c r="F2813" i="47"/>
  <c r="F2959" i="47" s="1"/>
  <c r="F3207" i="47" s="1"/>
  <c r="F2151" i="47"/>
  <c r="F2216" i="47" s="1"/>
  <c r="F2385" i="47" s="1"/>
  <c r="F2843" i="47"/>
  <c r="F2983" i="47" s="1"/>
  <c r="F3246" i="47" s="1"/>
  <c r="J2843" i="47"/>
  <c r="J2983" i="47" s="1"/>
  <c r="J3246" i="47" s="1"/>
  <c r="D2376" i="47"/>
  <c r="D2805" i="47"/>
  <c r="D2951" i="47" s="1"/>
  <c r="D3199" i="47" s="1"/>
  <c r="D2132" i="47"/>
  <c r="D2208" i="47" s="1"/>
  <c r="D2377" i="47" s="1"/>
  <c r="H2862" i="47"/>
  <c r="H2996" i="47" s="1"/>
  <c r="H3283" i="47" s="1"/>
  <c r="E2838" i="47"/>
  <c r="E2978" i="47" s="1"/>
  <c r="E3240" i="47" s="1"/>
  <c r="G2814" i="47"/>
  <c r="G2960" i="47" s="1"/>
  <c r="G3208" i="47" s="1"/>
  <c r="G2152" i="47"/>
  <c r="G2217" i="47" s="1"/>
  <c r="G2386" i="47" s="1"/>
  <c r="D2863" i="47"/>
  <c r="D2997" i="47" s="1"/>
  <c r="D3284" i="47" s="1"/>
  <c r="H2838" i="47"/>
  <c r="H2978" i="47" s="1"/>
  <c r="H3240" i="47" s="1"/>
  <c r="H2808" i="47"/>
  <c r="H2954" i="47" s="1"/>
  <c r="H3202" i="47" s="1"/>
  <c r="H2133" i="47"/>
  <c r="H2211" i="47" s="1"/>
  <c r="H2380" i="47" s="1"/>
  <c r="G2808" i="47"/>
  <c r="G2954" i="47" s="1"/>
  <c r="G3202" i="47" s="1"/>
  <c r="G2133" i="47"/>
  <c r="G2211" i="47" s="1"/>
  <c r="G2380" i="47" s="1"/>
  <c r="D2862" i="47"/>
  <c r="D2996" i="47" s="1"/>
  <c r="D3283" i="47" s="1"/>
  <c r="I2863" i="47"/>
  <c r="I2997" i="47" s="1"/>
  <c r="I3284" i="47" s="1"/>
  <c r="D2808" i="47"/>
  <c r="D2954" i="47" s="1"/>
  <c r="D3202" i="47" s="1"/>
  <c r="D2133" i="47"/>
  <c r="D2211" i="47" s="1"/>
  <c r="D2380" i="47" s="1"/>
  <c r="E2863" i="47"/>
  <c r="E2997" i="47" s="1"/>
  <c r="E3284" i="47" s="1"/>
  <c r="H2863" i="47"/>
  <c r="H2997" i="47" s="1"/>
  <c r="H3284" i="47" s="1"/>
  <c r="F2862" i="47"/>
  <c r="F2996" i="47" s="1"/>
  <c r="F3283" i="47" s="1"/>
  <c r="B2843" i="47"/>
  <c r="B2983" i="47" s="1"/>
  <c r="B3246" i="47" s="1"/>
  <c r="F2863" i="47"/>
  <c r="F2997" i="47" s="1"/>
  <c r="F3284" i="47" s="1"/>
  <c r="J2814" i="47"/>
  <c r="J2960" i="47" s="1"/>
  <c r="J3208" i="47" s="1"/>
  <c r="J2152" i="47"/>
  <c r="J2217" i="47" s="1"/>
  <c r="J2386" i="47" s="1"/>
  <c r="C2863" i="47"/>
  <c r="C2997" i="47" s="1"/>
  <c r="C3284" i="47" s="1"/>
  <c r="H2842" i="47"/>
  <c r="H2982" i="47" s="1"/>
  <c r="H3245" i="47" s="1"/>
  <c r="G2863" i="47"/>
  <c r="G2997" i="47" s="1"/>
  <c r="G3284" i="47" s="1"/>
  <c r="D2843" i="47"/>
  <c r="D2983" i="47" s="1"/>
  <c r="D3246" i="47" s="1"/>
  <c r="G2838" i="47"/>
  <c r="G2978" i="47" s="1"/>
  <c r="G3240" i="47" s="1"/>
  <c r="C2838" i="47"/>
  <c r="C2978" i="47" s="1"/>
  <c r="C3240" i="47" s="1"/>
  <c r="I2838" i="47"/>
  <c r="I2978" i="47" s="1"/>
  <c r="I3240" i="47" s="1"/>
  <c r="I2843" i="47"/>
  <c r="I2983" i="47" s="1"/>
  <c r="I3246" i="47" s="1"/>
  <c r="E2843" i="47"/>
  <c r="E2983" i="47" s="1"/>
  <c r="E3246" i="47" s="1"/>
  <c r="H2843" i="47"/>
  <c r="H2983" i="47" s="1"/>
  <c r="H3246" i="47" s="1"/>
  <c r="B2808" i="47"/>
  <c r="B2954" i="47" s="1"/>
  <c r="B3202" i="47" s="1"/>
  <c r="B2133" i="47"/>
  <c r="B2211" i="47" s="1"/>
  <c r="F2842" i="47"/>
  <c r="F2982" i="47" s="1"/>
  <c r="F3245" i="47" s="1"/>
  <c r="B2863" i="47"/>
  <c r="B2997" i="47" s="1"/>
  <c r="B3284" i="47" s="1"/>
  <c r="F2814" i="47"/>
  <c r="F2960" i="47" s="1"/>
  <c r="F3208" i="47" s="1"/>
  <c r="F2152" i="47"/>
  <c r="F2217" i="47" s="1"/>
  <c r="F2386" i="47" s="1"/>
  <c r="J2808" i="47"/>
  <c r="J2954" i="47" s="1"/>
  <c r="J3202" i="47" s="1"/>
  <c r="J2133" i="47"/>
  <c r="J2211" i="47" s="1"/>
  <c r="J2380" i="47" s="1"/>
  <c r="C2843" i="47"/>
  <c r="C2983" i="47" s="1"/>
  <c r="C3246" i="47" s="1"/>
  <c r="H2813" i="47"/>
  <c r="H2959" i="47" s="1"/>
  <c r="H3207" i="47" s="1"/>
  <c r="H2151" i="47"/>
  <c r="H2216" i="47" s="1"/>
  <c r="H2385" i="47" s="1"/>
  <c r="D2814" i="47"/>
  <c r="D2960" i="47" s="1"/>
  <c r="D3208" i="47" s="1"/>
  <c r="D2152" i="47"/>
  <c r="D2217" i="47" s="1"/>
  <c r="D2386" i="47" s="1"/>
  <c r="F2837" i="47"/>
  <c r="F2977" i="47" s="1"/>
  <c r="F3237" i="47" s="1"/>
  <c r="G2132" i="47" l="1"/>
  <c r="G2208" i="47" s="1"/>
  <c r="G2377" i="47" s="1"/>
  <c r="G2402" i="47" s="1"/>
  <c r="G2805" i="47"/>
  <c r="G2951" i="47" s="1"/>
  <c r="G3199" i="47" s="1"/>
  <c r="G2151" i="47"/>
  <c r="G2216" i="47" s="1"/>
  <c r="G2385" i="47" s="1"/>
  <c r="I2151" i="47"/>
  <c r="I2216" i="47" s="1"/>
  <c r="I2385" i="47" s="1"/>
  <c r="I2813" i="47"/>
  <c r="I2959" i="47" s="1"/>
  <c r="I3207" i="47" s="1"/>
  <c r="C2813" i="47"/>
  <c r="C2959" i="47" s="1"/>
  <c r="C3207" i="47" s="1"/>
  <c r="C2151" i="47"/>
  <c r="C2216" i="47" s="1"/>
  <c r="C2385" i="47" s="1"/>
  <c r="I2805" i="47"/>
  <c r="I2951" i="47" s="1"/>
  <c r="I3199" i="47" s="1"/>
  <c r="I2132" i="47"/>
  <c r="I2208" i="47" s="1"/>
  <c r="I2377" i="47" s="1"/>
  <c r="I2402" i="47" s="1"/>
  <c r="B2132" i="47"/>
  <c r="B2208" i="47" s="1"/>
  <c r="B2377" i="47" s="1"/>
  <c r="B2805" i="47"/>
  <c r="B2951" i="47" s="1"/>
  <c r="B3199" i="47" s="1"/>
  <c r="J2813" i="47"/>
  <c r="J2959" i="47" s="1"/>
  <c r="J3207" i="47" s="1"/>
  <c r="J2151" i="47"/>
  <c r="J2216" i="47" s="1"/>
  <c r="J2385" i="47" s="1"/>
  <c r="B2813" i="47"/>
  <c r="B2959" i="47" s="1"/>
  <c r="B3207" i="47" s="1"/>
  <c r="B2151" i="47"/>
  <c r="B2216" i="47" s="1"/>
  <c r="B2385" i="47" s="1"/>
  <c r="B2806" i="47"/>
  <c r="B2952" i="47" s="1"/>
  <c r="B3200" i="47" s="1"/>
  <c r="B2113" i="47"/>
  <c r="B2209" i="47" s="1"/>
  <c r="B2378" i="47" s="1"/>
  <c r="J2805" i="47"/>
  <c r="J2951" i="47" s="1"/>
  <c r="J3199" i="47" s="1"/>
  <c r="J2132" i="47"/>
  <c r="J2208" i="47" s="1"/>
  <c r="J2377" i="47" s="1"/>
  <c r="E2402" i="47"/>
  <c r="C2805" i="47"/>
  <c r="C2951" i="47" s="1"/>
  <c r="C3199" i="47" s="1"/>
  <c r="C2132" i="47"/>
  <c r="C2208" i="47" s="1"/>
  <c r="C2377" i="47" s="1"/>
  <c r="H2964" i="47"/>
  <c r="H3212" i="47"/>
  <c r="H2966" i="47"/>
  <c r="H3214" i="47"/>
  <c r="G3001" i="47"/>
  <c r="G3292" i="47"/>
  <c r="G2967" i="47"/>
  <c r="G3215" i="47"/>
  <c r="J2965" i="47"/>
  <c r="J3213" i="47"/>
  <c r="J2987" i="47"/>
  <c r="J3254" i="47"/>
  <c r="J3212" i="47"/>
  <c r="J2964" i="47"/>
  <c r="E2987" i="47"/>
  <c r="E3254" i="47"/>
  <c r="E2964" i="47"/>
  <c r="E3212" i="47"/>
  <c r="D2965" i="47"/>
  <c r="D3213" i="47"/>
  <c r="D3292" i="47"/>
  <c r="D3001" i="47"/>
  <c r="F2967" i="47"/>
  <c r="F3215" i="47"/>
  <c r="I3214" i="47"/>
  <c r="I2966" i="47"/>
  <c r="I2964" i="47"/>
  <c r="I3212" i="47"/>
  <c r="I2967" i="47"/>
  <c r="I3215" i="47"/>
  <c r="C3214" i="47"/>
  <c r="C2966" i="47"/>
  <c r="F2402" i="47"/>
  <c r="D2241" i="47"/>
  <c r="H2241" i="47"/>
  <c r="H2967" i="47"/>
  <c r="H3215" i="47"/>
  <c r="H3292" i="47"/>
  <c r="H3001" i="47"/>
  <c r="G2965" i="47"/>
  <c r="G3213" i="47"/>
  <c r="J3292" i="47"/>
  <c r="J3001" i="47"/>
  <c r="J2967" i="47"/>
  <c r="J3215" i="47"/>
  <c r="E3214" i="47"/>
  <c r="E2966" i="47"/>
  <c r="D2903" i="47"/>
  <c r="D3096" i="47" s="1"/>
  <c r="D3319" i="47" s="1"/>
  <c r="D2911" i="47"/>
  <c r="D2898" i="47"/>
  <c r="D2902" i="47"/>
  <c r="D3095" i="47" s="1"/>
  <c r="D3318" i="47" s="1"/>
  <c r="D2908" i="47"/>
  <c r="D3358" i="47" s="1"/>
  <c r="D2905" i="47"/>
  <c r="D3098" i="47" s="1"/>
  <c r="D3321" i="47" s="1"/>
  <c r="D2913" i="47"/>
  <c r="D2900" i="47"/>
  <c r="D3094" i="47" s="1"/>
  <c r="D3316" i="47" s="1"/>
  <c r="D2896" i="47"/>
  <c r="D3091" i="47" s="1"/>
  <c r="D3312" i="47" s="1"/>
  <c r="D2897" i="47"/>
  <c r="D3092" i="47" s="1"/>
  <c r="D3313" i="47" s="1"/>
  <c r="D2907" i="47"/>
  <c r="D3357" i="47" s="1"/>
  <c r="D2910" i="47"/>
  <c r="D2899" i="47"/>
  <c r="D3093" i="47" s="1"/>
  <c r="D3315" i="47" s="1"/>
  <c r="D2906" i="47"/>
  <c r="D3099" i="47" s="1"/>
  <c r="D3322" i="47" s="1"/>
  <c r="D2901" i="47"/>
  <c r="D2909" i="47"/>
  <c r="D3359" i="47" s="1"/>
  <c r="D2912" i="47"/>
  <c r="D2904" i="47"/>
  <c r="D3097" i="47" s="1"/>
  <c r="D3320" i="47" s="1"/>
  <c r="D2914" i="47"/>
  <c r="D2968" i="47"/>
  <c r="D3216" i="47"/>
  <c r="F3214" i="47"/>
  <c r="F2966" i="47"/>
  <c r="F2964" i="47"/>
  <c r="F3212" i="47"/>
  <c r="I2965" i="47"/>
  <c r="I3213" i="47"/>
  <c r="I3001" i="47"/>
  <c r="I3292" i="47"/>
  <c r="C2967" i="47"/>
  <c r="C3215" i="47"/>
  <c r="C3254" i="47"/>
  <c r="C2987" i="47"/>
  <c r="B2380" i="47"/>
  <c r="F2241" i="47"/>
  <c r="D2402" i="47"/>
  <c r="H2402" i="47"/>
  <c r="H2987" i="47"/>
  <c r="H3254" i="47"/>
  <c r="G3214" i="47"/>
  <c r="G2966" i="47"/>
  <c r="G2968" i="47"/>
  <c r="G3216" i="47"/>
  <c r="I2898" i="47"/>
  <c r="I2906" i="47"/>
  <c r="I3099" i="47" s="1"/>
  <c r="I3322" i="47" s="1"/>
  <c r="I2914" i="47"/>
  <c r="I2907" i="47"/>
  <c r="I3357" i="47" s="1"/>
  <c r="I2901" i="47"/>
  <c r="I2900" i="47"/>
  <c r="I3094" i="47" s="1"/>
  <c r="I3316" i="47" s="1"/>
  <c r="I2908" i="47"/>
  <c r="I3358" i="47" s="1"/>
  <c r="I2899" i="47"/>
  <c r="I3093" i="47" s="1"/>
  <c r="I3315" i="47" s="1"/>
  <c r="I2909" i="47"/>
  <c r="I3359" i="47" s="1"/>
  <c r="I2897" i="47"/>
  <c r="I3092" i="47" s="1"/>
  <c r="I3313" i="47" s="1"/>
  <c r="I2902" i="47"/>
  <c r="I3095" i="47" s="1"/>
  <c r="I3318" i="47" s="1"/>
  <c r="I2910" i="47"/>
  <c r="I2903" i="47"/>
  <c r="I3096" i="47" s="1"/>
  <c r="I3319" i="47" s="1"/>
  <c r="I2911" i="47"/>
  <c r="I2896" i="47"/>
  <c r="I3091" i="47" s="1"/>
  <c r="I3312" i="47" s="1"/>
  <c r="I2904" i="47"/>
  <c r="I3097" i="47" s="1"/>
  <c r="I3320" i="47" s="1"/>
  <c r="I2912" i="47"/>
  <c r="I2905" i="47"/>
  <c r="I3098" i="47" s="1"/>
  <c r="I3321" i="47" s="1"/>
  <c r="I2913" i="47"/>
  <c r="J2966" i="47"/>
  <c r="J3214" i="47"/>
  <c r="E3215" i="47"/>
  <c r="E2967" i="47"/>
  <c r="E2968" i="47"/>
  <c r="E3216" i="47"/>
  <c r="D2987" i="47"/>
  <c r="D3254" i="47"/>
  <c r="D2964" i="47"/>
  <c r="D3212" i="47"/>
  <c r="F3213" i="47"/>
  <c r="F2965" i="47"/>
  <c r="F3292" i="47"/>
  <c r="F3001" i="47"/>
  <c r="I3254" i="47"/>
  <c r="I2987" i="47"/>
  <c r="C3001" i="47"/>
  <c r="C3292" i="47"/>
  <c r="C2965" i="47"/>
  <c r="C3213" i="47"/>
  <c r="C2241" i="47"/>
  <c r="C2376" i="47"/>
  <c r="C2402" i="47" s="1"/>
  <c r="H2965" i="47"/>
  <c r="H3213" i="47"/>
  <c r="H3216" i="47"/>
  <c r="H2968" i="47"/>
  <c r="G2898" i="47"/>
  <c r="G2908" i="47"/>
  <c r="G3358" i="47" s="1"/>
  <c r="G2911" i="47"/>
  <c r="G2901" i="47"/>
  <c r="G2909" i="47"/>
  <c r="G3359" i="47" s="1"/>
  <c r="G2902" i="47"/>
  <c r="G3095" i="47" s="1"/>
  <c r="G3318" i="47" s="1"/>
  <c r="G2910" i="47"/>
  <c r="G2907" i="47"/>
  <c r="G3357" i="47" s="1"/>
  <c r="G2897" i="47"/>
  <c r="G3092" i="47" s="1"/>
  <c r="G3313" i="47" s="1"/>
  <c r="G2913" i="47"/>
  <c r="G2904" i="47"/>
  <c r="G3097" i="47" s="1"/>
  <c r="G3320" i="47" s="1"/>
  <c r="G2912" i="47"/>
  <c r="G2900" i="47"/>
  <c r="G3094" i="47" s="1"/>
  <c r="G3316" i="47" s="1"/>
  <c r="G2903" i="47"/>
  <c r="G3096" i="47" s="1"/>
  <c r="G3319" i="47" s="1"/>
  <c r="G2896" i="47"/>
  <c r="G3091" i="47" s="1"/>
  <c r="G3312" i="47" s="1"/>
  <c r="G2906" i="47"/>
  <c r="G3099" i="47" s="1"/>
  <c r="G3322" i="47" s="1"/>
  <c r="G2914" i="47"/>
  <c r="G2905" i="47"/>
  <c r="G3098" i="47" s="1"/>
  <c r="G3321" i="47" s="1"/>
  <c r="G2899" i="47"/>
  <c r="G3093" i="47" s="1"/>
  <c r="G3315" i="47" s="1"/>
  <c r="G2987" i="47"/>
  <c r="G3254" i="47"/>
  <c r="G2964" i="47"/>
  <c r="G3212" i="47"/>
  <c r="J3216" i="47"/>
  <c r="J2968" i="47"/>
  <c r="E3001" i="47"/>
  <c r="E3292" i="47"/>
  <c r="E2965" i="47"/>
  <c r="E3213" i="47"/>
  <c r="D2966" i="47"/>
  <c r="D3214" i="47"/>
  <c r="D3215" i="47"/>
  <c r="D2967" i="47"/>
  <c r="F2987" i="47"/>
  <c r="F3254" i="47"/>
  <c r="F3216" i="47"/>
  <c r="F2968" i="47"/>
  <c r="I3216" i="47"/>
  <c r="I2968" i="47"/>
  <c r="E2241" i="47"/>
  <c r="C2899" i="47"/>
  <c r="C3093" i="47" s="1"/>
  <c r="C3315" i="47" s="1"/>
  <c r="C2907" i="47"/>
  <c r="C3357" i="47" s="1"/>
  <c r="C2896" i="47"/>
  <c r="C3091" i="47" s="1"/>
  <c r="C3312" i="47" s="1"/>
  <c r="C2904" i="47"/>
  <c r="C3097" i="47" s="1"/>
  <c r="C3320" i="47" s="1"/>
  <c r="C2912" i="47"/>
  <c r="C2901" i="47"/>
  <c r="C2909" i="47"/>
  <c r="C3359" i="47" s="1"/>
  <c r="C2898" i="47"/>
  <c r="C2906" i="47"/>
  <c r="C3099" i="47" s="1"/>
  <c r="C3322" i="47" s="1"/>
  <c r="C2914" i="47"/>
  <c r="C2903" i="47"/>
  <c r="C3096" i="47" s="1"/>
  <c r="C3319" i="47" s="1"/>
  <c r="C2911" i="47"/>
  <c r="C2900" i="47"/>
  <c r="C3094" i="47" s="1"/>
  <c r="C3316" i="47" s="1"/>
  <c r="C2908" i="47"/>
  <c r="C3358" i="47" s="1"/>
  <c r="C2897" i="47"/>
  <c r="C3092" i="47" s="1"/>
  <c r="C3313" i="47" s="1"/>
  <c r="C2905" i="47"/>
  <c r="C3098" i="47" s="1"/>
  <c r="C3321" i="47" s="1"/>
  <c r="C2913" i="47"/>
  <c r="C2902" i="47"/>
  <c r="C3095" i="47" s="1"/>
  <c r="C3318" i="47" s="1"/>
  <c r="C2910" i="47"/>
  <c r="C3216" i="47"/>
  <c r="C2968" i="47"/>
  <c r="C2964" i="47"/>
  <c r="C3212" i="47"/>
  <c r="B152" i="35"/>
  <c r="F152" i="35"/>
  <c r="C152" i="35"/>
  <c r="G152" i="35"/>
  <c r="D152" i="35"/>
  <c r="E152" i="36"/>
  <c r="E152" i="35"/>
  <c r="C152" i="36"/>
  <c r="G152" i="36"/>
  <c r="B152" i="36"/>
  <c r="D152" i="36"/>
  <c r="B152" i="37"/>
  <c r="F152" i="36"/>
  <c r="D152" i="37"/>
  <c r="G152" i="37"/>
  <c r="C152" i="37"/>
  <c r="E152" i="37"/>
  <c r="D152" i="38"/>
  <c r="F152" i="37"/>
  <c r="E152" i="38"/>
  <c r="B152" i="38"/>
  <c r="C152" i="34"/>
  <c r="G152" i="34"/>
  <c r="C152" i="38"/>
  <c r="F152" i="38"/>
  <c r="G152" i="38"/>
  <c r="B152" i="34"/>
  <c r="F152" i="34"/>
  <c r="E152" i="34"/>
  <c r="B118" i="41"/>
  <c r="D152" i="34"/>
  <c r="I2241" i="47" l="1"/>
  <c r="I2460" i="47" s="1"/>
  <c r="H2481" i="47" s="1"/>
  <c r="I2529" i="47" s="1"/>
  <c r="E2460" i="47"/>
  <c r="G2241" i="47"/>
  <c r="G2460" i="47" s="1"/>
  <c r="J2402" i="47"/>
  <c r="B2411" i="47" s="1"/>
  <c r="J2449" i="47" s="1"/>
  <c r="J2882" i="47" s="1"/>
  <c r="J2905" i="47" s="1"/>
  <c r="J3098" i="47" s="1"/>
  <c r="J3321" i="47" s="1"/>
  <c r="J2241" i="47"/>
  <c r="F2460" i="47"/>
  <c r="B2402" i="47"/>
  <c r="H2460" i="47"/>
  <c r="G2481" i="47" s="1"/>
  <c r="H2529" i="47" s="1"/>
  <c r="B2241" i="47"/>
  <c r="B2460" i="47" s="1"/>
  <c r="D2460" i="47"/>
  <c r="C2481" i="47" s="1"/>
  <c r="D2529" i="47" s="1"/>
  <c r="E2481" i="47"/>
  <c r="F2529" i="47" s="1"/>
  <c r="C2460" i="47"/>
  <c r="D2481" i="47"/>
  <c r="E2529" i="47" s="1"/>
  <c r="F2481" i="47"/>
  <c r="G2529" i="47" s="1"/>
  <c r="D153" i="35"/>
  <c r="E153" i="35"/>
  <c r="B153" i="35"/>
  <c r="C153" i="35"/>
  <c r="G153" i="35"/>
  <c r="C153" i="36"/>
  <c r="G153" i="36"/>
  <c r="E153" i="36"/>
  <c r="D153" i="36"/>
  <c r="F153" i="36"/>
  <c r="F153" i="35"/>
  <c r="B153" i="36"/>
  <c r="B153" i="37"/>
  <c r="F153" i="37"/>
  <c r="G153" i="37"/>
  <c r="C153" i="37"/>
  <c r="D153" i="37"/>
  <c r="B153" i="38"/>
  <c r="F153" i="38"/>
  <c r="E153" i="37"/>
  <c r="C153" i="38"/>
  <c r="G153" i="38"/>
  <c r="D153" i="38"/>
  <c r="E153" i="34"/>
  <c r="E153" i="38"/>
  <c r="D153" i="34"/>
  <c r="G153" i="34"/>
  <c r="B153" i="34"/>
  <c r="B119" i="41"/>
  <c r="C153" i="34"/>
  <c r="F153" i="34"/>
  <c r="J2914" i="47" l="1"/>
  <c r="J2912" i="47"/>
  <c r="J2901" i="47"/>
  <c r="J2911" i="47"/>
  <c r="J2899" i="47"/>
  <c r="J3093" i="47" s="1"/>
  <c r="J3315" i="47" s="1"/>
  <c r="J2902" i="47"/>
  <c r="J3095" i="47" s="1"/>
  <c r="J3318" i="47" s="1"/>
  <c r="J2906" i="47"/>
  <c r="J3099" i="47" s="1"/>
  <c r="J3322" i="47" s="1"/>
  <c r="J2910" i="47"/>
  <c r="J2909" i="47"/>
  <c r="J3359" i="47" s="1"/>
  <c r="J2897" i="47"/>
  <c r="J3092" i="47" s="1"/>
  <c r="J3313" i="47" s="1"/>
  <c r="J2907" i="47"/>
  <c r="J3357" i="47" s="1"/>
  <c r="J2896" i="47"/>
  <c r="J3091" i="47" s="1"/>
  <c r="J3312" i="47" s="1"/>
  <c r="J2898" i="47"/>
  <c r="J2460" i="47"/>
  <c r="I2481" i="47" s="1"/>
  <c r="J2529" i="47" s="1"/>
  <c r="J2900" i="47"/>
  <c r="J3094" i="47" s="1"/>
  <c r="J3316" i="47" s="1"/>
  <c r="J2913" i="47"/>
  <c r="J2903" i="47"/>
  <c r="J3096" i="47" s="1"/>
  <c r="J3319" i="47" s="1"/>
  <c r="J2904" i="47"/>
  <c r="J3097" i="47" s="1"/>
  <c r="J3320" i="47" s="1"/>
  <c r="J2908" i="47"/>
  <c r="J3358" i="47" s="1"/>
  <c r="B2481" i="47"/>
  <c r="C2529" i="47" s="1"/>
  <c r="B154" i="35"/>
  <c r="F154" i="35"/>
  <c r="C154" i="35"/>
  <c r="G154" i="35"/>
  <c r="D154" i="35"/>
  <c r="E154" i="35"/>
  <c r="E154" i="36"/>
  <c r="C154" i="36"/>
  <c r="G154" i="36"/>
  <c r="F154" i="36"/>
  <c r="B154" i="36"/>
  <c r="D154" i="36"/>
  <c r="D154" i="37"/>
  <c r="F154" i="37"/>
  <c r="B154" i="37"/>
  <c r="G154" i="37"/>
  <c r="C154" i="37"/>
  <c r="D154" i="38"/>
  <c r="E154" i="37"/>
  <c r="E154" i="38"/>
  <c r="F154" i="38"/>
  <c r="C154" i="34"/>
  <c r="G154" i="34"/>
  <c r="G154" i="38"/>
  <c r="B154" i="38"/>
  <c r="C154" i="38"/>
  <c r="B154" i="34"/>
  <c r="F154" i="34"/>
  <c r="D154" i="34"/>
  <c r="E154" i="34"/>
  <c r="B120" i="41"/>
  <c r="M2529" i="47" l="1"/>
  <c r="D155" i="35"/>
  <c r="E155" i="35"/>
  <c r="F155" i="35"/>
  <c r="B155" i="35"/>
  <c r="G155" i="35"/>
  <c r="C155" i="36"/>
  <c r="G155" i="36"/>
  <c r="C155" i="35"/>
  <c r="E155" i="36"/>
  <c r="B155" i="36"/>
  <c r="D155" i="36"/>
  <c r="F155" i="36"/>
  <c r="B155" i="37"/>
  <c r="F155" i="37"/>
  <c r="E155" i="37"/>
  <c r="G155" i="37"/>
  <c r="C155" i="37"/>
  <c r="B155" i="38"/>
  <c r="F155" i="38"/>
  <c r="D155" i="37"/>
  <c r="C155" i="38"/>
  <c r="G155" i="38"/>
  <c r="E155" i="34"/>
  <c r="D155" i="38"/>
  <c r="E155" i="38"/>
  <c r="D155" i="34"/>
  <c r="C155" i="34"/>
  <c r="F155" i="34"/>
  <c r="G155" i="34"/>
  <c r="B155" i="34"/>
  <c r="B121" i="41"/>
  <c r="B2551" i="47" l="1"/>
  <c r="B2569" i="47" s="1"/>
  <c r="K2754" i="47" s="1"/>
  <c r="H2551" i="47"/>
  <c r="K2551" i="47"/>
  <c r="K2560" i="47" s="1"/>
  <c r="F2551" i="47"/>
  <c r="L2551" i="47"/>
  <c r="L2560" i="47" s="1"/>
  <c r="C2551" i="47"/>
  <c r="J2551" i="47"/>
  <c r="E2551" i="47"/>
  <c r="G2551" i="47"/>
  <c r="D2551" i="47"/>
  <c r="I2551" i="47"/>
  <c r="B156" i="35"/>
  <c r="F156" i="35"/>
  <c r="C156" i="35"/>
  <c r="G156" i="35"/>
  <c r="E156" i="35"/>
  <c r="E156" i="36"/>
  <c r="D156" i="35"/>
  <c r="C156" i="36"/>
  <c r="G156" i="36"/>
  <c r="B156" i="36"/>
  <c r="D156" i="36"/>
  <c r="F156" i="36"/>
  <c r="D156" i="37"/>
  <c r="E156" i="37"/>
  <c r="F156" i="37"/>
  <c r="B156" i="37"/>
  <c r="G156" i="37"/>
  <c r="D156" i="38"/>
  <c r="C156" i="37"/>
  <c r="E156" i="38"/>
  <c r="B156" i="38"/>
  <c r="C156" i="34"/>
  <c r="G156" i="34"/>
  <c r="C156" i="38"/>
  <c r="F156" i="38"/>
  <c r="G156" i="38"/>
  <c r="B156" i="34"/>
  <c r="F156" i="34"/>
  <c r="E156" i="34"/>
  <c r="B122" i="41"/>
  <c r="D156" i="34"/>
  <c r="E2569" i="47" l="1"/>
  <c r="N2754" i="47" s="1"/>
  <c r="E2560" i="47"/>
  <c r="F2569" i="47"/>
  <c r="O2754" i="47" s="1"/>
  <c r="F2560" i="47"/>
  <c r="I2569" i="47"/>
  <c r="R2754" i="47" s="1"/>
  <c r="I2560" i="47"/>
  <c r="J2569" i="47"/>
  <c r="S2754" i="47" s="1"/>
  <c r="J2560" i="47"/>
  <c r="B2589" i="47"/>
  <c r="B2605" i="47"/>
  <c r="B2588" i="47"/>
  <c r="B2604" i="47"/>
  <c r="B2587" i="47"/>
  <c r="B2603" i="47"/>
  <c r="B2586" i="47"/>
  <c r="B2602" i="47"/>
  <c r="B2593" i="47"/>
  <c r="B2617" i="47"/>
  <c r="V3212" i="47" s="1"/>
  <c r="B2592" i="47"/>
  <c r="B2608" i="47"/>
  <c r="B2607" i="47"/>
  <c r="B2590" i="47"/>
  <c r="B2606" i="47"/>
  <c r="B2597" i="47"/>
  <c r="B2621" i="47"/>
  <c r="B2596" i="47"/>
  <c r="B2618" i="47"/>
  <c r="V3213" i="47" s="1"/>
  <c r="B2595" i="47"/>
  <c r="B2619" i="47"/>
  <c r="V3214" i="47" s="1"/>
  <c r="B2594" i="47"/>
  <c r="B2620" i="47"/>
  <c r="V3215" i="47" s="1"/>
  <c r="B2601" i="47"/>
  <c r="B2600" i="47"/>
  <c r="B2583" i="47"/>
  <c r="B2582" i="47"/>
  <c r="B2591" i="47"/>
  <c r="B2585" i="47"/>
  <c r="B2584" i="47"/>
  <c r="B2599" i="47"/>
  <c r="B2598" i="47"/>
  <c r="D2569" i="47"/>
  <c r="M2754" i="47" s="1"/>
  <c r="D2560" i="47"/>
  <c r="C2569" i="47"/>
  <c r="L2754" i="47" s="1"/>
  <c r="C2560" i="47"/>
  <c r="H2569" i="47"/>
  <c r="Q2754" i="47" s="1"/>
  <c r="H2560" i="47"/>
  <c r="G2569" i="47"/>
  <c r="P2754" i="47" s="1"/>
  <c r="G2560" i="47"/>
  <c r="C2582" i="47"/>
  <c r="W3312" i="47" s="1"/>
  <c r="C2598" i="47"/>
  <c r="C2589" i="47"/>
  <c r="W3319" i="47" s="1"/>
  <c r="C2605" i="47"/>
  <c r="W3335" i="47" s="1"/>
  <c r="C2596" i="47"/>
  <c r="C2583" i="47"/>
  <c r="W3313" i="47" s="1"/>
  <c r="C2599" i="47"/>
  <c r="C2586" i="47"/>
  <c r="W3316" i="47" s="1"/>
  <c r="C2602" i="47"/>
  <c r="W3332" i="47" s="1"/>
  <c r="C2593" i="47"/>
  <c r="W3323" i="47" s="1"/>
  <c r="C2584" i="47"/>
  <c r="C2600" i="47"/>
  <c r="C2587" i="47"/>
  <c r="C2603" i="47"/>
  <c r="W3333" i="47" s="1"/>
  <c r="C2590" i="47"/>
  <c r="W3320" i="47" s="1"/>
  <c r="C2606" i="47"/>
  <c r="W3336" i="47" s="1"/>
  <c r="C2597" i="47"/>
  <c r="C2588" i="47"/>
  <c r="W3318" i="47" s="1"/>
  <c r="C2604" i="47"/>
  <c r="W3334" i="47" s="1"/>
  <c r="C2591" i="47"/>
  <c r="W3321" i="47" s="1"/>
  <c r="C2607" i="47"/>
  <c r="W3337" i="47" s="1"/>
  <c r="C2594" i="47"/>
  <c r="W3324" i="47" s="1"/>
  <c r="C2585" i="47"/>
  <c r="W3315" i="47" s="1"/>
  <c r="C2601" i="47"/>
  <c r="W3331" i="47" s="1"/>
  <c r="C2592" i="47"/>
  <c r="W3322" i="47" s="1"/>
  <c r="C2608" i="47"/>
  <c r="W3338" i="47" s="1"/>
  <c r="C2595" i="47"/>
  <c r="W3325" i="47" s="1"/>
  <c r="K2813" i="47"/>
  <c r="K2959" i="47" s="1"/>
  <c r="M3207" i="47" s="1"/>
  <c r="K2766" i="47"/>
  <c r="K2923" i="47" s="1"/>
  <c r="K2774" i="47"/>
  <c r="K2931" i="47" s="1"/>
  <c r="K2782" i="47"/>
  <c r="K2939" i="47" s="1"/>
  <c r="K2790" i="47"/>
  <c r="K2771" i="47"/>
  <c r="K2928" i="47" s="1"/>
  <c r="K2779" i="47"/>
  <c r="K2936" i="47" s="1"/>
  <c r="K3111" i="47" s="1"/>
  <c r="K3123" i="47" s="1"/>
  <c r="M3394" i="47" s="1"/>
  <c r="K2787" i="47"/>
  <c r="M3219" i="47" s="1"/>
  <c r="K3162" i="47"/>
  <c r="K3177" i="47" s="1"/>
  <c r="M3402" i="47" s="1"/>
  <c r="K3163" i="47"/>
  <c r="K3178" i="47" s="1"/>
  <c r="M3403" i="47" s="1"/>
  <c r="K2847" i="47"/>
  <c r="K2819" i="47"/>
  <c r="K2849" i="47"/>
  <c r="M3260" i="47" s="1"/>
  <c r="K2825" i="47"/>
  <c r="M3224" i="47" s="1"/>
  <c r="K2812" i="47"/>
  <c r="K2958" i="47" s="1"/>
  <c r="M3206" i="47" s="1"/>
  <c r="K2841" i="47"/>
  <c r="K2981" i="47" s="1"/>
  <c r="M3244" i="47" s="1"/>
  <c r="K2844" i="47"/>
  <c r="K2984" i="47" s="1"/>
  <c r="M3247" i="47" s="1"/>
  <c r="K2865" i="47"/>
  <c r="K2999" i="47" s="1"/>
  <c r="M3286" i="47" s="1"/>
  <c r="K2838" i="47"/>
  <c r="K2978" i="47" s="1"/>
  <c r="M3240" i="47" s="1"/>
  <c r="K2837" i="47"/>
  <c r="K2977" i="47" s="1"/>
  <c r="M3237" i="47" s="1"/>
  <c r="K2863" i="47"/>
  <c r="K2997" i="47" s="1"/>
  <c r="M3284" i="47" s="1"/>
  <c r="K2768" i="47"/>
  <c r="K2925" i="47" s="1"/>
  <c r="K2776" i="47"/>
  <c r="K2933" i="47" s="1"/>
  <c r="K2784" i="47"/>
  <c r="K2941" i="47" s="1"/>
  <c r="K2792" i="47"/>
  <c r="K2773" i="47"/>
  <c r="K2930" i="47" s="1"/>
  <c r="K2781" i="47"/>
  <c r="K2938" i="47" s="1"/>
  <c r="K2789" i="47"/>
  <c r="M3221" i="47" s="1"/>
  <c r="K3164" i="47"/>
  <c r="K3179" i="47" s="1"/>
  <c r="M3404" i="47" s="1"/>
  <c r="K3165" i="47"/>
  <c r="K3180" i="47" s="1"/>
  <c r="M3405" i="47" s="1"/>
  <c r="K2820" i="47"/>
  <c r="K2818" i="47"/>
  <c r="K2816" i="47"/>
  <c r="K2962" i="47" s="1"/>
  <c r="M3210" i="47" s="1"/>
  <c r="K2840" i="47"/>
  <c r="K2980" i="47" s="1"/>
  <c r="M3243" i="47" s="1"/>
  <c r="K2824" i="47"/>
  <c r="M3222" i="47" s="1"/>
  <c r="K2868" i="47"/>
  <c r="M3296" i="47" s="1"/>
  <c r="K2869" i="47"/>
  <c r="M3298" i="47" s="1"/>
  <c r="K2846" i="47"/>
  <c r="K2986" i="47" s="1"/>
  <c r="M3249" i="47" s="1"/>
  <c r="K2814" i="47"/>
  <c r="K2960" i="47" s="1"/>
  <c r="M3208" i="47" s="1"/>
  <c r="K2770" i="47"/>
  <c r="K2927" i="47" s="1"/>
  <c r="K2778" i="47"/>
  <c r="K2935" i="47" s="1"/>
  <c r="K3110" i="47" s="1"/>
  <c r="K3122" i="47" s="1"/>
  <c r="M3393" i="47" s="1"/>
  <c r="K2786" i="47"/>
  <c r="M3218" i="47" s="1"/>
  <c r="K2767" i="47"/>
  <c r="K2924" i="47" s="1"/>
  <c r="K2775" i="47"/>
  <c r="K2932" i="47" s="1"/>
  <c r="K2783" i="47"/>
  <c r="K2940" i="47" s="1"/>
  <c r="K2791" i="47"/>
  <c r="M3223" i="47" s="1"/>
  <c r="B3517" i="47"/>
  <c r="M3526" i="47" s="1"/>
  <c r="K3166" i="47"/>
  <c r="K3181" i="47" s="1"/>
  <c r="M3406" i="47" s="1"/>
  <c r="K2822" i="47"/>
  <c r="K2811" i="47"/>
  <c r="K2957" i="47" s="1"/>
  <c r="M3205" i="47" s="1"/>
  <c r="K2864" i="47"/>
  <c r="K2998" i="47" s="1"/>
  <c r="M3285" i="47" s="1"/>
  <c r="K2815" i="47"/>
  <c r="K2961" i="47" s="1"/>
  <c r="M3209" i="47" s="1"/>
  <c r="K2839" i="47"/>
  <c r="K2979" i="47" s="1"/>
  <c r="M3242" i="47" s="1"/>
  <c r="K2866" i="47"/>
  <c r="K3000" i="47" s="1"/>
  <c r="M3287" i="47" s="1"/>
  <c r="K2845" i="47"/>
  <c r="K2985" i="47" s="1"/>
  <c r="M3248" i="47" s="1"/>
  <c r="K2806" i="47"/>
  <c r="K2952" i="47" s="1"/>
  <c r="M3200" i="47" s="1"/>
  <c r="K2842" i="47"/>
  <c r="K2982" i="47" s="1"/>
  <c r="M3245" i="47" s="1"/>
  <c r="K2809" i="47"/>
  <c r="K2955" i="47" s="1"/>
  <c r="M3203" i="47" s="1"/>
  <c r="K2807" i="47"/>
  <c r="K2953" i="47" s="1"/>
  <c r="M3201" i="47" s="1"/>
  <c r="K2772" i="47"/>
  <c r="K2929" i="47" s="1"/>
  <c r="K2780" i="47"/>
  <c r="K2937" i="47" s="1"/>
  <c r="K2788" i="47"/>
  <c r="K2769" i="47"/>
  <c r="K2926" i="47" s="1"/>
  <c r="K2777" i="47"/>
  <c r="K2934" i="47" s="1"/>
  <c r="K3109" i="47" s="1"/>
  <c r="K3121" i="47" s="1"/>
  <c r="M3392" i="47" s="1"/>
  <c r="K2785" i="47"/>
  <c r="M3217" i="47" s="1"/>
  <c r="K2882" i="47"/>
  <c r="K3167" i="47"/>
  <c r="K3182" i="47" s="1"/>
  <c r="M3407" i="47" s="1"/>
  <c r="K2821" i="47"/>
  <c r="K2867" i="47"/>
  <c r="K2810" i="47"/>
  <c r="K2956" i="47" s="1"/>
  <c r="M3204" i="47" s="1"/>
  <c r="K2817" i="47"/>
  <c r="K2963" i="47" s="1"/>
  <c r="M3211" i="47" s="1"/>
  <c r="K2850" i="47"/>
  <c r="M3262" i="47" s="1"/>
  <c r="K2870" i="47"/>
  <c r="M3300" i="47" s="1"/>
  <c r="K2823" i="47"/>
  <c r="M3220" i="47" s="1"/>
  <c r="K2848" i="47"/>
  <c r="M3258" i="47" s="1"/>
  <c r="K2804" i="47"/>
  <c r="K2950" i="47" s="1"/>
  <c r="M3198" i="47" s="1"/>
  <c r="K2805" i="47"/>
  <c r="K2951" i="47" s="1"/>
  <c r="M3199" i="47" s="1"/>
  <c r="K2843" i="47"/>
  <c r="K2983" i="47" s="1"/>
  <c r="M3246" i="47" s="1"/>
  <c r="K2808" i="47"/>
  <c r="K2954" i="47" s="1"/>
  <c r="M3202" i="47" s="1"/>
  <c r="K2862" i="47"/>
  <c r="K2996" i="47" s="1"/>
  <c r="M3283" i="47" s="1"/>
  <c r="D157" i="35"/>
  <c r="E157" i="35"/>
  <c r="B157" i="35"/>
  <c r="F157" i="35"/>
  <c r="G157" i="35"/>
  <c r="C157" i="36"/>
  <c r="G157" i="36"/>
  <c r="E157" i="36"/>
  <c r="D157" i="36"/>
  <c r="F157" i="36"/>
  <c r="C157" i="35"/>
  <c r="B157" i="36"/>
  <c r="B157" i="37"/>
  <c r="F157" i="37"/>
  <c r="D157" i="37"/>
  <c r="E157" i="37"/>
  <c r="G157" i="37"/>
  <c r="B157" i="38"/>
  <c r="F157" i="38"/>
  <c r="C157" i="37"/>
  <c r="C157" i="38"/>
  <c r="G157" i="38"/>
  <c r="D157" i="38"/>
  <c r="E157" i="34"/>
  <c r="E157" i="38"/>
  <c r="D157" i="34"/>
  <c r="G157" i="34"/>
  <c r="B157" i="34"/>
  <c r="B123" i="41"/>
  <c r="C157" i="34"/>
  <c r="F157" i="34"/>
  <c r="K3001" i="47" l="1"/>
  <c r="M3292" i="47"/>
  <c r="K2968" i="47"/>
  <c r="M3216" i="47"/>
  <c r="D2598" i="47"/>
  <c r="D2591" i="47"/>
  <c r="V3321" i="47"/>
  <c r="D2601" i="47"/>
  <c r="V3331" i="47"/>
  <c r="D2595" i="47"/>
  <c r="V3325" i="47"/>
  <c r="D2597" i="47"/>
  <c r="D2608" i="47"/>
  <c r="V3338" i="47"/>
  <c r="V3332" i="47"/>
  <c r="D2602" i="47"/>
  <c r="D2604" i="47"/>
  <c r="V3334" i="47"/>
  <c r="K2967" i="47"/>
  <c r="M3215" i="47"/>
  <c r="K2964" i="47"/>
  <c r="M3212" i="47"/>
  <c r="K2965" i="47"/>
  <c r="M3213" i="47"/>
  <c r="P2837" i="47"/>
  <c r="P2977" i="47" s="1"/>
  <c r="R3237" i="47" s="1"/>
  <c r="P2807" i="47"/>
  <c r="P2953" i="47" s="1"/>
  <c r="R3201" i="47" s="1"/>
  <c r="P2862" i="47"/>
  <c r="P2996" i="47" s="1"/>
  <c r="R3283" i="47" s="1"/>
  <c r="P2843" i="47"/>
  <c r="P2983" i="47" s="1"/>
  <c r="R3246" i="47" s="1"/>
  <c r="P2814" i="47"/>
  <c r="P2960" i="47" s="1"/>
  <c r="R3208" i="47" s="1"/>
  <c r="P2773" i="47"/>
  <c r="P2930" i="47" s="1"/>
  <c r="P2772" i="47"/>
  <c r="P2929" i="47" s="1"/>
  <c r="P2780" i="47"/>
  <c r="P2937" i="47" s="1"/>
  <c r="P2819" i="47"/>
  <c r="P2789" i="47"/>
  <c r="R3221" i="47" s="1"/>
  <c r="P2782" i="47"/>
  <c r="P2939" i="47" s="1"/>
  <c r="P2882" i="47"/>
  <c r="P2791" i="47"/>
  <c r="R3223" i="47" s="1"/>
  <c r="P3162" i="47"/>
  <c r="P3177" i="47" s="1"/>
  <c r="R3402" i="47" s="1"/>
  <c r="P2847" i="47"/>
  <c r="P2839" i="47"/>
  <c r="P2979" i="47" s="1"/>
  <c r="R3242" i="47" s="1"/>
  <c r="P2845" i="47"/>
  <c r="P2985" i="47" s="1"/>
  <c r="R3248" i="47" s="1"/>
  <c r="P2816" i="47"/>
  <c r="P2962" i="47" s="1"/>
  <c r="R3210" i="47" s="1"/>
  <c r="P2866" i="47"/>
  <c r="P3000" i="47" s="1"/>
  <c r="R3287" i="47" s="1"/>
  <c r="P2810" i="47"/>
  <c r="P2956" i="47" s="1"/>
  <c r="R3204" i="47" s="1"/>
  <c r="P2811" i="47"/>
  <c r="P2957" i="47" s="1"/>
  <c r="R3205" i="47" s="1"/>
  <c r="P2809" i="47"/>
  <c r="P2955" i="47" s="1"/>
  <c r="R3203" i="47" s="1"/>
  <c r="P2863" i="47"/>
  <c r="P2997" i="47" s="1"/>
  <c r="R3284" i="47" s="1"/>
  <c r="P2767" i="47"/>
  <c r="P2924" i="47" s="1"/>
  <c r="P2766" i="47"/>
  <c r="P2923" i="47" s="1"/>
  <c r="P2774" i="47"/>
  <c r="P2931" i="47" s="1"/>
  <c r="P2784" i="47"/>
  <c r="P2941" i="47" s="1"/>
  <c r="P2777" i="47"/>
  <c r="P2934" i="47" s="1"/>
  <c r="P3109" i="47" s="1"/>
  <c r="P3121" i="47" s="1"/>
  <c r="R3392" i="47" s="1"/>
  <c r="P2820" i="47"/>
  <c r="P2786" i="47"/>
  <c r="R3218" i="47" s="1"/>
  <c r="P2779" i="47"/>
  <c r="P2936" i="47" s="1"/>
  <c r="P3111" i="47" s="1"/>
  <c r="P3123" i="47" s="1"/>
  <c r="R3394" i="47" s="1"/>
  <c r="P3163" i="47"/>
  <c r="P3178" i="47" s="1"/>
  <c r="R3403" i="47" s="1"/>
  <c r="P3164" i="47"/>
  <c r="P3179" i="47" s="1"/>
  <c r="R3404" i="47" s="1"/>
  <c r="P2818" i="47"/>
  <c r="P2869" i="47"/>
  <c r="R3298" i="47" s="1"/>
  <c r="P2824" i="47"/>
  <c r="R3222" i="47" s="1"/>
  <c r="P2849" i="47"/>
  <c r="R3260" i="47" s="1"/>
  <c r="P2844" i="47"/>
  <c r="P2984" i="47" s="1"/>
  <c r="R3247" i="47" s="1"/>
  <c r="P2840" i="47"/>
  <c r="P2980" i="47" s="1"/>
  <c r="R3243" i="47" s="1"/>
  <c r="P2823" i="47"/>
  <c r="R3220" i="47" s="1"/>
  <c r="P2842" i="47"/>
  <c r="P2982" i="47" s="1"/>
  <c r="R3245" i="47" s="1"/>
  <c r="P2813" i="47"/>
  <c r="P2959" i="47" s="1"/>
  <c r="R3207" i="47" s="1"/>
  <c r="P2808" i="47"/>
  <c r="P2954" i="47" s="1"/>
  <c r="R3202" i="47" s="1"/>
  <c r="P2805" i="47"/>
  <c r="P2951" i="47" s="1"/>
  <c r="R3199" i="47" s="1"/>
  <c r="P2838" i="47"/>
  <c r="P2978" i="47" s="1"/>
  <c r="R3240" i="47" s="1"/>
  <c r="P2769" i="47"/>
  <c r="P2926" i="47" s="1"/>
  <c r="P2768" i="47"/>
  <c r="P2925" i="47" s="1"/>
  <c r="P2776" i="47"/>
  <c r="P2933" i="47" s="1"/>
  <c r="P2788" i="47"/>
  <c r="P2781" i="47"/>
  <c r="P2938" i="47" s="1"/>
  <c r="P2867" i="47"/>
  <c r="P2790" i="47"/>
  <c r="P2783" i="47"/>
  <c r="P2940" i="47" s="1"/>
  <c r="P3165" i="47"/>
  <c r="P3180" i="47" s="1"/>
  <c r="R3405" i="47" s="1"/>
  <c r="P3166" i="47"/>
  <c r="P3181" i="47" s="1"/>
  <c r="R3406" i="47" s="1"/>
  <c r="P2812" i="47"/>
  <c r="P2958" i="47" s="1"/>
  <c r="R3206" i="47" s="1"/>
  <c r="P2850" i="47"/>
  <c r="R3262" i="47" s="1"/>
  <c r="P2868" i="47"/>
  <c r="R3296" i="47" s="1"/>
  <c r="P2870" i="47"/>
  <c r="R3300" i="47" s="1"/>
  <c r="P2841" i="47"/>
  <c r="P2981" i="47" s="1"/>
  <c r="R3244" i="47" s="1"/>
  <c r="P2848" i="47"/>
  <c r="R3258" i="47" s="1"/>
  <c r="P2804" i="47"/>
  <c r="P2950" i="47" s="1"/>
  <c r="R3198" i="47" s="1"/>
  <c r="P2771" i="47"/>
  <c r="P2928" i="47" s="1"/>
  <c r="P2770" i="47"/>
  <c r="P2927" i="47" s="1"/>
  <c r="P2775" i="47"/>
  <c r="P2932" i="47" s="1"/>
  <c r="P2792" i="47"/>
  <c r="P2785" i="47"/>
  <c r="R3217" i="47" s="1"/>
  <c r="P2778" i="47"/>
  <c r="P2935" i="47" s="1"/>
  <c r="P3110" i="47" s="1"/>
  <c r="P3122" i="47" s="1"/>
  <c r="R3393" i="47" s="1"/>
  <c r="P2821" i="47"/>
  <c r="P2787" i="47"/>
  <c r="R3219" i="47" s="1"/>
  <c r="P3167" i="47"/>
  <c r="P3182" i="47" s="1"/>
  <c r="R3407" i="47" s="1"/>
  <c r="P2822" i="47"/>
  <c r="P2817" i="47"/>
  <c r="P2963" i="47" s="1"/>
  <c r="R3211" i="47" s="1"/>
  <c r="P2864" i="47"/>
  <c r="P2998" i="47" s="1"/>
  <c r="R3285" i="47" s="1"/>
  <c r="P2815" i="47"/>
  <c r="P2961" i="47" s="1"/>
  <c r="R3209" i="47" s="1"/>
  <c r="P2825" i="47"/>
  <c r="R3224" i="47" s="1"/>
  <c r="P2865" i="47"/>
  <c r="P2999" i="47" s="1"/>
  <c r="R3286" i="47" s="1"/>
  <c r="P2846" i="47"/>
  <c r="P2986" i="47" s="1"/>
  <c r="R3249" i="47" s="1"/>
  <c r="P2806" i="47"/>
  <c r="P2952" i="47" s="1"/>
  <c r="R3200" i="47" s="1"/>
  <c r="L2808" i="47"/>
  <c r="L2954" i="47" s="1"/>
  <c r="N3202" i="47" s="1"/>
  <c r="L2838" i="47"/>
  <c r="L2978" i="47" s="1"/>
  <c r="N3240" i="47" s="1"/>
  <c r="L2843" i="47"/>
  <c r="L2983" i="47" s="1"/>
  <c r="N3246" i="47" s="1"/>
  <c r="L2814" i="47"/>
  <c r="L2960" i="47" s="1"/>
  <c r="N3208" i="47" s="1"/>
  <c r="L2771" i="47"/>
  <c r="L2928" i="47" s="1"/>
  <c r="L2770" i="47"/>
  <c r="L2927" i="47" s="1"/>
  <c r="L2778" i="47"/>
  <c r="L2935" i="47" s="1"/>
  <c r="L3110" i="47" s="1"/>
  <c r="L3122" i="47" s="1"/>
  <c r="N3393" i="47" s="1"/>
  <c r="L2821" i="47"/>
  <c r="L2791" i="47"/>
  <c r="N3223" i="47" s="1"/>
  <c r="L2792" i="47"/>
  <c r="L2775" i="47"/>
  <c r="L2932" i="47" s="1"/>
  <c r="L2789" i="47"/>
  <c r="N3221" i="47" s="1"/>
  <c r="L3166" i="47"/>
  <c r="L3181" i="47" s="1"/>
  <c r="N3406" i="47" s="1"/>
  <c r="L2822" i="47"/>
  <c r="L2812" i="47"/>
  <c r="L2958" i="47" s="1"/>
  <c r="N3206" i="47" s="1"/>
  <c r="L2864" i="47"/>
  <c r="L2998" i="47" s="1"/>
  <c r="N3285" i="47" s="1"/>
  <c r="L2846" i="47"/>
  <c r="L2986" i="47" s="1"/>
  <c r="N3249" i="47" s="1"/>
  <c r="L2841" i="47"/>
  <c r="L2981" i="47" s="1"/>
  <c r="N3244" i="47" s="1"/>
  <c r="L2870" i="47"/>
  <c r="N3300" i="47" s="1"/>
  <c r="L2845" i="47"/>
  <c r="L2985" i="47" s="1"/>
  <c r="N3248" i="47" s="1"/>
  <c r="L2806" i="47"/>
  <c r="L2952" i="47" s="1"/>
  <c r="N3200" i="47" s="1"/>
  <c r="L2862" i="47"/>
  <c r="L2996" i="47" s="1"/>
  <c r="N3283" i="47" s="1"/>
  <c r="L2863" i="47"/>
  <c r="L2997" i="47" s="1"/>
  <c r="N3284" i="47" s="1"/>
  <c r="L2773" i="47"/>
  <c r="L2930" i="47" s="1"/>
  <c r="L2772" i="47"/>
  <c r="L2929" i="47" s="1"/>
  <c r="L2782" i="47"/>
  <c r="L2939" i="47" s="1"/>
  <c r="L2779" i="47"/>
  <c r="L2936" i="47" s="1"/>
  <c r="L3111" i="47" s="1"/>
  <c r="L3123" i="47" s="1"/>
  <c r="N3394" i="47" s="1"/>
  <c r="L2780" i="47"/>
  <c r="L2937" i="47" s="1"/>
  <c r="L2819" i="47"/>
  <c r="L2777" i="47"/>
  <c r="L2934" i="47" s="1"/>
  <c r="L3109" i="47" s="1"/>
  <c r="L3121" i="47" s="1"/>
  <c r="N3392" i="47" s="1"/>
  <c r="L3163" i="47"/>
  <c r="L3178" i="47" s="1"/>
  <c r="N3403" i="47" s="1"/>
  <c r="L3162" i="47"/>
  <c r="L3177" i="47" s="1"/>
  <c r="N3402" i="47" s="1"/>
  <c r="L2818" i="47"/>
  <c r="L2848" i="47"/>
  <c r="N3258" i="47" s="1"/>
  <c r="L2810" i="47"/>
  <c r="L2956" i="47" s="1"/>
  <c r="N3204" i="47" s="1"/>
  <c r="L2823" i="47"/>
  <c r="N3220" i="47" s="1"/>
  <c r="L2840" i="47"/>
  <c r="L2980" i="47" s="1"/>
  <c r="N3243" i="47" s="1"/>
  <c r="L2817" i="47"/>
  <c r="L2963" i="47" s="1"/>
  <c r="N3211" i="47" s="1"/>
  <c r="L2869" i="47"/>
  <c r="N3298" i="47" s="1"/>
  <c r="L2807" i="47"/>
  <c r="L2953" i="47" s="1"/>
  <c r="N3201" i="47" s="1"/>
  <c r="L2805" i="47"/>
  <c r="L2951" i="47" s="1"/>
  <c r="N3199" i="47" s="1"/>
  <c r="L2767" i="47"/>
  <c r="L2924" i="47" s="1"/>
  <c r="L2766" i="47"/>
  <c r="L2923" i="47" s="1"/>
  <c r="L2774" i="47"/>
  <c r="L2931" i="47" s="1"/>
  <c r="L2786" i="47"/>
  <c r="N3218" i="47" s="1"/>
  <c r="L2783" i="47"/>
  <c r="L2940" i="47" s="1"/>
  <c r="L2784" i="47"/>
  <c r="L2941" i="47" s="1"/>
  <c r="L2867" i="47"/>
  <c r="L2781" i="47"/>
  <c r="L2938" i="47" s="1"/>
  <c r="L3165" i="47"/>
  <c r="L3180" i="47" s="1"/>
  <c r="N3405" i="47" s="1"/>
  <c r="L3164" i="47"/>
  <c r="L3179" i="47" s="1"/>
  <c r="N3404" i="47" s="1"/>
  <c r="L2847" i="47"/>
  <c r="L2865" i="47"/>
  <c r="L2999" i="47" s="1"/>
  <c r="N3286" i="47" s="1"/>
  <c r="L2815" i="47"/>
  <c r="L2961" i="47" s="1"/>
  <c r="N3209" i="47" s="1"/>
  <c r="L2844" i="47"/>
  <c r="L2984" i="47" s="1"/>
  <c r="N3247" i="47" s="1"/>
  <c r="L2816" i="47"/>
  <c r="L2962" i="47" s="1"/>
  <c r="N3210" i="47" s="1"/>
  <c r="L2824" i="47"/>
  <c r="N3222" i="47" s="1"/>
  <c r="L2811" i="47"/>
  <c r="L2957" i="47" s="1"/>
  <c r="N3205" i="47" s="1"/>
  <c r="L2809" i="47"/>
  <c r="L2955" i="47" s="1"/>
  <c r="N3203" i="47" s="1"/>
  <c r="L2842" i="47"/>
  <c r="L2982" i="47" s="1"/>
  <c r="N3245" i="47" s="1"/>
  <c r="L2769" i="47"/>
  <c r="L2926" i="47" s="1"/>
  <c r="L2768" i="47"/>
  <c r="L2925" i="47" s="1"/>
  <c r="L2776" i="47"/>
  <c r="L2933" i="47" s="1"/>
  <c r="L2790" i="47"/>
  <c r="L2787" i="47"/>
  <c r="N3219" i="47" s="1"/>
  <c r="L2788" i="47"/>
  <c r="L2882" i="47"/>
  <c r="L2785" i="47"/>
  <c r="N3217" i="47" s="1"/>
  <c r="L3167" i="47"/>
  <c r="L3182" i="47" s="1"/>
  <c r="N3407" i="47" s="1"/>
  <c r="L2820" i="47"/>
  <c r="L2839" i="47"/>
  <c r="L2979" i="47" s="1"/>
  <c r="N3242" i="47" s="1"/>
  <c r="L2850" i="47"/>
  <c r="N3262" i="47" s="1"/>
  <c r="L2866" i="47"/>
  <c r="L3000" i="47" s="1"/>
  <c r="N3287" i="47" s="1"/>
  <c r="L2868" i="47"/>
  <c r="N3296" i="47" s="1"/>
  <c r="L2849" i="47"/>
  <c r="N3260" i="47" s="1"/>
  <c r="L2825" i="47"/>
  <c r="N3224" i="47" s="1"/>
  <c r="L2804" i="47"/>
  <c r="L2950" i="47" s="1"/>
  <c r="N3198" i="47" s="1"/>
  <c r="L2813" i="47"/>
  <c r="L2959" i="47" s="1"/>
  <c r="N3207" i="47" s="1"/>
  <c r="L2837" i="47"/>
  <c r="L2977" i="47" s="1"/>
  <c r="N3237" i="47" s="1"/>
  <c r="D2599" i="47"/>
  <c r="D2582" i="47"/>
  <c r="V3312" i="47"/>
  <c r="D2606" i="47"/>
  <c r="V3336" i="47"/>
  <c r="D2592" i="47"/>
  <c r="V3322" i="47"/>
  <c r="D2586" i="47"/>
  <c r="V3316" i="47"/>
  <c r="V3318" i="47"/>
  <c r="D2588" i="47"/>
  <c r="S2808" i="47"/>
  <c r="S2954" i="47" s="1"/>
  <c r="U3202" i="47" s="1"/>
  <c r="S2838" i="47"/>
  <c r="S2978" i="47" s="1"/>
  <c r="U3240" i="47" s="1"/>
  <c r="S2814" i="47"/>
  <c r="S2960" i="47" s="1"/>
  <c r="U3208" i="47" s="1"/>
  <c r="S2863" i="47"/>
  <c r="S2997" i="47" s="1"/>
  <c r="U3284" i="47" s="1"/>
  <c r="S2843" i="47"/>
  <c r="S2983" i="47" s="1"/>
  <c r="U3246" i="47" s="1"/>
  <c r="S2768" i="47"/>
  <c r="S2925" i="47" s="1"/>
  <c r="S2776" i="47"/>
  <c r="S2933" i="47" s="1"/>
  <c r="S2784" i="47"/>
  <c r="S2941" i="47" s="1"/>
  <c r="S2792" i="47"/>
  <c r="S2773" i="47"/>
  <c r="S2930" i="47" s="1"/>
  <c r="S2781" i="47"/>
  <c r="S2938" i="47" s="1"/>
  <c r="S2789" i="47"/>
  <c r="U3221" i="47" s="1"/>
  <c r="S3165" i="47"/>
  <c r="S3180" i="47" s="1"/>
  <c r="U3405" i="47" s="1"/>
  <c r="S3167" i="47"/>
  <c r="S3182" i="47" s="1"/>
  <c r="U3407" i="47" s="1"/>
  <c r="S2822" i="47"/>
  <c r="S2869" i="47"/>
  <c r="U3298" i="47" s="1"/>
  <c r="S2845" i="47"/>
  <c r="S2985" i="47" s="1"/>
  <c r="U3248" i="47" s="1"/>
  <c r="S2811" i="47"/>
  <c r="S2957" i="47" s="1"/>
  <c r="U3205" i="47" s="1"/>
  <c r="S2870" i="47"/>
  <c r="U3300" i="47" s="1"/>
  <c r="S2823" i="47"/>
  <c r="U3220" i="47" s="1"/>
  <c r="S2849" i="47"/>
  <c r="U3260" i="47" s="1"/>
  <c r="S2806" i="47"/>
  <c r="S2952" i="47" s="1"/>
  <c r="U3200" i="47" s="1"/>
  <c r="S2809" i="47"/>
  <c r="S2955" i="47" s="1"/>
  <c r="U3203" i="47" s="1"/>
  <c r="S2807" i="47"/>
  <c r="S2953" i="47" s="1"/>
  <c r="U3201" i="47" s="1"/>
  <c r="S2770" i="47"/>
  <c r="S2927" i="47" s="1"/>
  <c r="S2778" i="47"/>
  <c r="S2935" i="47" s="1"/>
  <c r="S3110" i="47" s="1"/>
  <c r="S3122" i="47" s="1"/>
  <c r="U3393" i="47" s="1"/>
  <c r="S2786" i="47"/>
  <c r="U3218" i="47" s="1"/>
  <c r="S2767" i="47"/>
  <c r="S2924" i="47" s="1"/>
  <c r="S2775" i="47"/>
  <c r="S2932" i="47" s="1"/>
  <c r="S2783" i="47"/>
  <c r="S2940" i="47" s="1"/>
  <c r="S2791" i="47"/>
  <c r="U3223" i="47" s="1"/>
  <c r="S3166" i="47"/>
  <c r="S3181" i="47" s="1"/>
  <c r="U3406" i="47" s="1"/>
  <c r="S2821" i="47"/>
  <c r="S2867" i="47"/>
  <c r="S2812" i="47"/>
  <c r="S2958" i="47" s="1"/>
  <c r="U3206" i="47" s="1"/>
  <c r="S2817" i="47"/>
  <c r="S2963" i="47" s="1"/>
  <c r="U3211" i="47" s="1"/>
  <c r="S2844" i="47"/>
  <c r="S2984" i="47" s="1"/>
  <c r="U3247" i="47" s="1"/>
  <c r="S2864" i="47"/>
  <c r="S2998" i="47" s="1"/>
  <c r="U3285" i="47" s="1"/>
  <c r="S2810" i="47"/>
  <c r="S2956" i="47" s="1"/>
  <c r="U3204" i="47" s="1"/>
  <c r="S2848" i="47"/>
  <c r="U3258" i="47" s="1"/>
  <c r="S2804" i="47"/>
  <c r="S2950" i="47" s="1"/>
  <c r="U3198" i="47" s="1"/>
  <c r="S2805" i="47"/>
  <c r="S2951" i="47" s="1"/>
  <c r="U3199" i="47" s="1"/>
  <c r="S2772" i="47"/>
  <c r="S2929" i="47" s="1"/>
  <c r="S2780" i="47"/>
  <c r="S2937" i="47" s="1"/>
  <c r="S2788" i="47"/>
  <c r="S2769" i="47"/>
  <c r="S2926" i="47" s="1"/>
  <c r="S2777" i="47"/>
  <c r="S2934" i="47" s="1"/>
  <c r="S3109" i="47" s="1"/>
  <c r="S3121" i="47" s="1"/>
  <c r="U3392" i="47" s="1"/>
  <c r="S2785" i="47"/>
  <c r="U3217" i="47" s="1"/>
  <c r="S2882" i="47"/>
  <c r="S3162" i="47"/>
  <c r="S3177" i="47" s="1"/>
  <c r="U3402" i="47" s="1"/>
  <c r="S2847" i="47"/>
  <c r="S2820" i="47"/>
  <c r="S2866" i="47"/>
  <c r="S3000" i="47" s="1"/>
  <c r="U3287" i="47" s="1"/>
  <c r="S2840" i="47"/>
  <c r="S2980" i="47" s="1"/>
  <c r="U3243" i="47" s="1"/>
  <c r="S2815" i="47"/>
  <c r="S2961" i="47" s="1"/>
  <c r="U3209" i="47" s="1"/>
  <c r="S2839" i="47"/>
  <c r="S2979" i="47" s="1"/>
  <c r="U3242" i="47" s="1"/>
  <c r="S2816" i="47"/>
  <c r="S2962" i="47" s="1"/>
  <c r="U3210" i="47" s="1"/>
  <c r="S2825" i="47"/>
  <c r="U3224" i="47" s="1"/>
  <c r="S2842" i="47"/>
  <c r="S2982" i="47" s="1"/>
  <c r="U3245" i="47" s="1"/>
  <c r="S2862" i="47"/>
  <c r="S2996" i="47" s="1"/>
  <c r="U3283" i="47" s="1"/>
  <c r="S2766" i="47"/>
  <c r="S2923" i="47" s="1"/>
  <c r="S2774" i="47"/>
  <c r="S2931" i="47" s="1"/>
  <c r="S2782" i="47"/>
  <c r="S2939" i="47" s="1"/>
  <c r="S2790" i="47"/>
  <c r="S2771" i="47"/>
  <c r="S2928" i="47" s="1"/>
  <c r="S2779" i="47"/>
  <c r="S2936" i="47" s="1"/>
  <c r="S3111" i="47" s="1"/>
  <c r="S3123" i="47" s="1"/>
  <c r="U3394" i="47" s="1"/>
  <c r="S2787" i="47"/>
  <c r="U3219" i="47" s="1"/>
  <c r="S3163" i="47"/>
  <c r="S3178" i="47" s="1"/>
  <c r="U3403" i="47" s="1"/>
  <c r="S3164" i="47"/>
  <c r="S3179" i="47" s="1"/>
  <c r="U3404" i="47" s="1"/>
  <c r="S2818" i="47"/>
  <c r="S2819" i="47"/>
  <c r="S2850" i="47"/>
  <c r="U3262" i="47" s="1"/>
  <c r="S2846" i="47"/>
  <c r="S2986" i="47" s="1"/>
  <c r="U3249" i="47" s="1"/>
  <c r="S2868" i="47"/>
  <c r="U3296" i="47" s="1"/>
  <c r="S2824" i="47"/>
  <c r="U3222" i="47" s="1"/>
  <c r="S2865" i="47"/>
  <c r="S2999" i="47" s="1"/>
  <c r="U3286" i="47" s="1"/>
  <c r="S2841" i="47"/>
  <c r="S2981" i="47" s="1"/>
  <c r="U3244" i="47" s="1"/>
  <c r="S2813" i="47"/>
  <c r="S2959" i="47" s="1"/>
  <c r="U3207" i="47" s="1"/>
  <c r="S2837" i="47"/>
  <c r="S2977" i="47" s="1"/>
  <c r="U3237" i="47" s="1"/>
  <c r="O2768" i="47"/>
  <c r="O2925" i="47" s="1"/>
  <c r="O2776" i="47"/>
  <c r="O2933" i="47" s="1"/>
  <c r="O2784" i="47"/>
  <c r="O2941" i="47" s="1"/>
  <c r="O2792" i="47"/>
  <c r="O2773" i="47"/>
  <c r="O2930" i="47" s="1"/>
  <c r="O2781" i="47"/>
  <c r="O2938" i="47" s="1"/>
  <c r="O2789" i="47"/>
  <c r="Q3221" i="47" s="1"/>
  <c r="O3163" i="47"/>
  <c r="O3178" i="47" s="1"/>
  <c r="Q3403" i="47" s="1"/>
  <c r="O3164" i="47"/>
  <c r="O3179" i="47" s="1"/>
  <c r="Q3404" i="47" s="1"/>
  <c r="O2818" i="47"/>
  <c r="O2815" i="47"/>
  <c r="O2961" i="47" s="1"/>
  <c r="Q3209" i="47" s="1"/>
  <c r="O2841" i="47"/>
  <c r="O2981" i="47" s="1"/>
  <c r="Q3244" i="47" s="1"/>
  <c r="O2824" i="47"/>
  <c r="Q3222" i="47" s="1"/>
  <c r="O2845" i="47"/>
  <c r="O2985" i="47" s="1"/>
  <c r="Q3248" i="47" s="1"/>
  <c r="O2811" i="47"/>
  <c r="O2957" i="47" s="1"/>
  <c r="Q3205" i="47" s="1"/>
  <c r="O2839" i="47"/>
  <c r="O2979" i="47" s="1"/>
  <c r="Q3242" i="47" s="1"/>
  <c r="O2806" i="47"/>
  <c r="O2952" i="47" s="1"/>
  <c r="Q3200" i="47" s="1"/>
  <c r="O2838" i="47"/>
  <c r="O2978" i="47" s="1"/>
  <c r="Q3240" i="47" s="1"/>
  <c r="O2863" i="47"/>
  <c r="O2997" i="47" s="1"/>
  <c r="Q3284" i="47" s="1"/>
  <c r="O2805" i="47"/>
  <c r="O2951" i="47" s="1"/>
  <c r="Q3199" i="47" s="1"/>
  <c r="O2770" i="47"/>
  <c r="O2927" i="47" s="1"/>
  <c r="O2778" i="47"/>
  <c r="O2935" i="47" s="1"/>
  <c r="O3110" i="47" s="1"/>
  <c r="O3122" i="47" s="1"/>
  <c r="Q3393" i="47" s="1"/>
  <c r="O2786" i="47"/>
  <c r="Q3218" i="47" s="1"/>
  <c r="O2767" i="47"/>
  <c r="O2924" i="47" s="1"/>
  <c r="O2775" i="47"/>
  <c r="O2932" i="47" s="1"/>
  <c r="O2783" i="47"/>
  <c r="O2940" i="47" s="1"/>
  <c r="O2791" i="47"/>
  <c r="Q3223" i="47" s="1"/>
  <c r="O3165" i="47"/>
  <c r="O3180" i="47" s="1"/>
  <c r="Q3405" i="47" s="1"/>
  <c r="O2867" i="47"/>
  <c r="O2847" i="47"/>
  <c r="O2865" i="47"/>
  <c r="O2999" i="47" s="1"/>
  <c r="Q3286" i="47" s="1"/>
  <c r="O2866" i="47"/>
  <c r="O3000" i="47" s="1"/>
  <c r="Q3287" i="47" s="1"/>
  <c r="O2817" i="47"/>
  <c r="O2963" i="47" s="1"/>
  <c r="Q3211" i="47" s="1"/>
  <c r="O2870" i="47"/>
  <c r="Q3300" i="47" s="1"/>
  <c r="O2825" i="47"/>
  <c r="Q3224" i="47" s="1"/>
  <c r="O2849" i="47"/>
  <c r="Q3260" i="47" s="1"/>
  <c r="O2809" i="47"/>
  <c r="O2955" i="47" s="1"/>
  <c r="Q3203" i="47" s="1"/>
  <c r="O2862" i="47"/>
  <c r="O2996" i="47" s="1"/>
  <c r="Q3283" i="47" s="1"/>
  <c r="O2843" i="47"/>
  <c r="O2983" i="47" s="1"/>
  <c r="Q3246" i="47" s="1"/>
  <c r="O2837" i="47"/>
  <c r="O2977" i="47" s="1"/>
  <c r="Q3237" i="47" s="1"/>
  <c r="O2772" i="47"/>
  <c r="O2929" i="47" s="1"/>
  <c r="O2780" i="47"/>
  <c r="O2937" i="47" s="1"/>
  <c r="O2788" i="47"/>
  <c r="O2769" i="47"/>
  <c r="O2926" i="47" s="1"/>
  <c r="O2777" i="47"/>
  <c r="O2934" i="47" s="1"/>
  <c r="O3109" i="47" s="1"/>
  <c r="O3121" i="47" s="1"/>
  <c r="Q3392" i="47" s="1"/>
  <c r="O2785" i="47"/>
  <c r="Q3217" i="47" s="1"/>
  <c r="O2882" i="47"/>
  <c r="O3166" i="47"/>
  <c r="O3181" i="47" s="1"/>
  <c r="Q3406" i="47" s="1"/>
  <c r="O2820" i="47"/>
  <c r="O2819" i="47"/>
  <c r="O2869" i="47"/>
  <c r="Q3298" i="47" s="1"/>
  <c r="O2810" i="47"/>
  <c r="O2956" i="47" s="1"/>
  <c r="Q3204" i="47" s="1"/>
  <c r="O2864" i="47"/>
  <c r="O2998" i="47" s="1"/>
  <c r="Q3285" i="47" s="1"/>
  <c r="O2823" i="47"/>
  <c r="Q3220" i="47" s="1"/>
  <c r="O2844" i="47"/>
  <c r="O2984" i="47" s="1"/>
  <c r="Q3247" i="47" s="1"/>
  <c r="O2816" i="47"/>
  <c r="O2962" i="47" s="1"/>
  <c r="Q3210" i="47" s="1"/>
  <c r="O2804" i="47"/>
  <c r="O2950" i="47" s="1"/>
  <c r="Q3198" i="47" s="1"/>
  <c r="O2808" i="47"/>
  <c r="O2954" i="47" s="1"/>
  <c r="Q3202" i="47" s="1"/>
  <c r="O2842" i="47"/>
  <c r="O2982" i="47" s="1"/>
  <c r="Q3245" i="47" s="1"/>
  <c r="O2766" i="47"/>
  <c r="O2923" i="47" s="1"/>
  <c r="O2774" i="47"/>
  <c r="O2931" i="47" s="1"/>
  <c r="O2782" i="47"/>
  <c r="O2939" i="47" s="1"/>
  <c r="O2790" i="47"/>
  <c r="O2771" i="47"/>
  <c r="O2928" i="47" s="1"/>
  <c r="O2779" i="47"/>
  <c r="O2936" i="47" s="1"/>
  <c r="O3111" i="47" s="1"/>
  <c r="O3123" i="47" s="1"/>
  <c r="Q3394" i="47" s="1"/>
  <c r="O2787" i="47"/>
  <c r="Q3219" i="47" s="1"/>
  <c r="O3167" i="47"/>
  <c r="O3182" i="47" s="1"/>
  <c r="Q3407" i="47" s="1"/>
  <c r="O3162" i="47"/>
  <c r="O3177" i="47" s="1"/>
  <c r="Q3402" i="47" s="1"/>
  <c r="O2822" i="47"/>
  <c r="O2821" i="47"/>
  <c r="O2848" i="47"/>
  <c r="Q3258" i="47" s="1"/>
  <c r="O2812" i="47"/>
  <c r="O2958" i="47" s="1"/>
  <c r="Q3206" i="47" s="1"/>
  <c r="O2846" i="47"/>
  <c r="O2986" i="47" s="1"/>
  <c r="Q3249" i="47" s="1"/>
  <c r="O2850" i="47"/>
  <c r="Q3262" i="47" s="1"/>
  <c r="O2868" i="47"/>
  <c r="Q3296" i="47" s="1"/>
  <c r="O2840" i="47"/>
  <c r="O2980" i="47" s="1"/>
  <c r="Q3243" i="47" s="1"/>
  <c r="O2807" i="47"/>
  <c r="O2953" i="47" s="1"/>
  <c r="Q3201" i="47" s="1"/>
  <c r="O2813" i="47"/>
  <c r="O2959" i="47" s="1"/>
  <c r="Q3207" i="47" s="1"/>
  <c r="O2814" i="47"/>
  <c r="O2960" i="47" s="1"/>
  <c r="Q3208" i="47" s="1"/>
  <c r="D3541" i="47"/>
  <c r="D3545" i="47"/>
  <c r="D3549" i="47"/>
  <c r="D3557" i="47"/>
  <c r="F3562" i="47"/>
  <c r="F3656" i="47" s="1"/>
  <c r="C3854" i="47" s="1"/>
  <c r="E3543" i="47"/>
  <c r="G3546" i="47"/>
  <c r="C3556" i="47"/>
  <c r="G3558" i="47"/>
  <c r="C3562" i="47"/>
  <c r="D3542" i="47"/>
  <c r="D3546" i="47"/>
  <c r="F3551" i="47"/>
  <c r="D3558" i="47"/>
  <c r="D3562" i="47"/>
  <c r="D3566" i="47"/>
  <c r="C3543" i="47"/>
  <c r="G3547" i="47"/>
  <c r="G3555" i="47"/>
  <c r="G3549" i="47"/>
  <c r="C3561" i="47"/>
  <c r="F3542" i="47"/>
  <c r="F3546" i="47"/>
  <c r="F3550" i="47"/>
  <c r="F3558" i="47"/>
  <c r="F3564" i="47"/>
  <c r="F3658" i="47" s="1"/>
  <c r="C3856" i="47" s="1"/>
  <c r="C3544" i="47"/>
  <c r="G3548" i="47"/>
  <c r="G3556" i="47"/>
  <c r="E3559" i="47"/>
  <c r="C3564" i="47"/>
  <c r="F3543" i="47"/>
  <c r="F3547" i="47"/>
  <c r="F3555" i="47"/>
  <c r="F3559" i="47"/>
  <c r="F3563" i="47"/>
  <c r="F3657" i="47" s="1"/>
  <c r="C3855" i="47" s="1"/>
  <c r="F3567" i="47"/>
  <c r="F3661" i="47" s="1"/>
  <c r="C3859" i="47" s="1"/>
  <c r="G3543" i="47"/>
  <c r="E3556" i="47"/>
  <c r="D3543" i="47"/>
  <c r="D3547" i="47"/>
  <c r="D3555" i="47"/>
  <c r="F3560" i="47"/>
  <c r="F3654" i="47" s="1"/>
  <c r="C3852" i="47" s="1"/>
  <c r="F3566" i="47"/>
  <c r="F3660" i="47" s="1"/>
  <c r="C3858" i="47" s="1"/>
  <c r="G3544" i="47"/>
  <c r="G3550" i="47"/>
  <c r="E3557" i="47"/>
  <c r="C3560" i="47"/>
  <c r="C3566" i="47"/>
  <c r="D3544" i="47"/>
  <c r="D3548" i="47"/>
  <c r="D3556" i="47"/>
  <c r="D3560" i="47"/>
  <c r="D3564" i="47"/>
  <c r="C3541" i="47"/>
  <c r="G3545" i="47"/>
  <c r="G3551" i="47"/>
  <c r="C3557" i="47"/>
  <c r="F3544" i="47"/>
  <c r="F3548" i="47"/>
  <c r="F3556" i="47"/>
  <c r="D3561" i="47"/>
  <c r="G3542" i="47"/>
  <c r="C3546" i="47"/>
  <c r="E3555" i="47"/>
  <c r="C3558" i="47"/>
  <c r="G3560" i="47"/>
  <c r="F3541" i="47"/>
  <c r="F3545" i="47"/>
  <c r="F3549" i="47"/>
  <c r="F3557" i="47"/>
  <c r="F3561" i="47"/>
  <c r="F3655" i="47" s="1"/>
  <c r="C3853" i="47" s="1"/>
  <c r="F3565" i="47"/>
  <c r="F3659" i="47" s="1"/>
  <c r="C3857" i="47" s="1"/>
  <c r="G3541" i="47"/>
  <c r="E3546" i="47"/>
  <c r="C3555" i="47"/>
  <c r="G3557" i="47"/>
  <c r="G3561" i="47"/>
  <c r="E3558" i="47"/>
  <c r="G3559" i="47"/>
  <c r="M3214" i="47"/>
  <c r="K2966" i="47"/>
  <c r="M3254" i="47"/>
  <c r="K2987" i="47"/>
  <c r="D2584" i="47"/>
  <c r="D2583" i="47"/>
  <c r="V3313" i="47"/>
  <c r="D2594" i="47"/>
  <c r="V3324" i="47"/>
  <c r="D2596" i="47"/>
  <c r="D2590" i="47"/>
  <c r="V3320" i="47"/>
  <c r="V3333" i="47"/>
  <c r="D2603" i="47"/>
  <c r="D2605" i="47"/>
  <c r="V3335" i="47"/>
  <c r="K2897" i="47"/>
  <c r="K3092" i="47" s="1"/>
  <c r="M3313" i="47" s="1"/>
  <c r="K2905" i="47"/>
  <c r="K3098" i="47" s="1"/>
  <c r="M3321" i="47" s="1"/>
  <c r="K2913" i="47"/>
  <c r="K2902" i="47"/>
  <c r="K3095" i="47" s="1"/>
  <c r="M3318" i="47" s="1"/>
  <c r="K2910" i="47"/>
  <c r="K2899" i="47"/>
  <c r="K3093" i="47" s="1"/>
  <c r="M3315" i="47" s="1"/>
  <c r="K2907" i="47"/>
  <c r="M3357" i="47" s="1"/>
  <c r="K2896" i="47"/>
  <c r="K3091" i="47" s="1"/>
  <c r="M3312" i="47" s="1"/>
  <c r="K2904" i="47"/>
  <c r="K3097" i="47" s="1"/>
  <c r="M3320" i="47" s="1"/>
  <c r="K2912" i="47"/>
  <c r="K2901" i="47"/>
  <c r="K2909" i="47"/>
  <c r="M3359" i="47" s="1"/>
  <c r="K2898" i="47"/>
  <c r="K2906" i="47"/>
  <c r="K3099" i="47" s="1"/>
  <c r="M3322" i="47" s="1"/>
  <c r="K2914" i="47"/>
  <c r="K2903" i="47"/>
  <c r="K3096" i="47" s="1"/>
  <c r="M3319" i="47" s="1"/>
  <c r="K2911" i="47"/>
  <c r="K2900" i="47"/>
  <c r="K3094" i="47" s="1"/>
  <c r="M3316" i="47" s="1"/>
  <c r="K2908" i="47"/>
  <c r="M3358" i="47" s="1"/>
  <c r="Q2767" i="47"/>
  <c r="Q2924" i="47" s="1"/>
  <c r="Q2775" i="47"/>
  <c r="Q2932" i="47" s="1"/>
  <c r="Q2783" i="47"/>
  <c r="Q2940" i="47" s="1"/>
  <c r="Q2791" i="47"/>
  <c r="S3223" i="47" s="1"/>
  <c r="Q2770" i="47"/>
  <c r="Q2927" i="47" s="1"/>
  <c r="Q2778" i="47"/>
  <c r="Q2935" i="47" s="1"/>
  <c r="Q3110" i="47" s="1"/>
  <c r="Q3122" i="47" s="1"/>
  <c r="S3393" i="47" s="1"/>
  <c r="Q2786" i="47"/>
  <c r="S3218" i="47" s="1"/>
  <c r="Q2882" i="47"/>
  <c r="Q3167" i="47"/>
  <c r="Q3182" i="47" s="1"/>
  <c r="S3407" i="47" s="1"/>
  <c r="Q2822" i="47"/>
  <c r="Q2867" i="47"/>
  <c r="Q2864" i="47"/>
  <c r="Q2998" i="47" s="1"/>
  <c r="S3285" i="47" s="1"/>
  <c r="Q2841" i="47"/>
  <c r="Q2981" i="47" s="1"/>
  <c r="S3244" i="47" s="1"/>
  <c r="Q2816" i="47"/>
  <c r="Q2962" i="47" s="1"/>
  <c r="S3210" i="47" s="1"/>
  <c r="Q2824" i="47"/>
  <c r="S3222" i="47" s="1"/>
  <c r="Q2823" i="47"/>
  <c r="S3220" i="47" s="1"/>
  <c r="Q2868" i="47"/>
  <c r="S3296" i="47" s="1"/>
  <c r="Q2809" i="47"/>
  <c r="Q2955" i="47" s="1"/>
  <c r="S3203" i="47" s="1"/>
  <c r="Q2838" i="47"/>
  <c r="Q2978" i="47" s="1"/>
  <c r="S3240" i="47" s="1"/>
  <c r="Q2862" i="47"/>
  <c r="Q2996" i="47" s="1"/>
  <c r="S3283" i="47" s="1"/>
  <c r="Q2769" i="47"/>
  <c r="Q2926" i="47" s="1"/>
  <c r="Q2777" i="47"/>
  <c r="Q2934" i="47" s="1"/>
  <c r="Q3109" i="47" s="1"/>
  <c r="Q3121" i="47" s="1"/>
  <c r="S3392" i="47" s="1"/>
  <c r="Q2785" i="47"/>
  <c r="S3217" i="47" s="1"/>
  <c r="Q2847" i="47"/>
  <c r="Q2772" i="47"/>
  <c r="Q2929" i="47" s="1"/>
  <c r="Q2780" i="47"/>
  <c r="Q2937" i="47" s="1"/>
  <c r="Q2788" i="47"/>
  <c r="Q3166" i="47"/>
  <c r="Q3181" i="47" s="1"/>
  <c r="S3406" i="47" s="1"/>
  <c r="Q3163" i="47"/>
  <c r="Q3178" i="47" s="1"/>
  <c r="S3403" i="47" s="1"/>
  <c r="Q2818" i="47"/>
  <c r="Q2839" i="47"/>
  <c r="Q2979" i="47" s="1"/>
  <c r="S3242" i="47" s="1"/>
  <c r="Q2845" i="47"/>
  <c r="Q2985" i="47" s="1"/>
  <c r="S3248" i="47" s="1"/>
  <c r="Q2865" i="47"/>
  <c r="Q2999" i="47" s="1"/>
  <c r="S3286" i="47" s="1"/>
  <c r="Q2825" i="47"/>
  <c r="S3224" i="47" s="1"/>
  <c r="Q2840" i="47"/>
  <c r="Q2980" i="47" s="1"/>
  <c r="S3243" i="47" s="1"/>
  <c r="Q2844" i="47"/>
  <c r="Q2984" i="47" s="1"/>
  <c r="S3247" i="47" s="1"/>
  <c r="Q2804" i="47"/>
  <c r="Q2950" i="47" s="1"/>
  <c r="S3198" i="47" s="1"/>
  <c r="Q2837" i="47"/>
  <c r="Q2977" i="47" s="1"/>
  <c r="S3237" i="47" s="1"/>
  <c r="Q2814" i="47"/>
  <c r="Q2960" i="47" s="1"/>
  <c r="S3208" i="47" s="1"/>
  <c r="Q2808" i="47"/>
  <c r="Q2954" i="47" s="1"/>
  <c r="S3202" i="47" s="1"/>
  <c r="Q2771" i="47"/>
  <c r="Q2928" i="47" s="1"/>
  <c r="Q2779" i="47"/>
  <c r="Q2936" i="47" s="1"/>
  <c r="Q3111" i="47" s="1"/>
  <c r="Q3123" i="47" s="1"/>
  <c r="S3394" i="47" s="1"/>
  <c r="Q2787" i="47"/>
  <c r="S3219" i="47" s="1"/>
  <c r="Q2766" i="47"/>
  <c r="Q2923" i="47" s="1"/>
  <c r="Q2774" i="47"/>
  <c r="Q2931" i="47" s="1"/>
  <c r="Q2782" i="47"/>
  <c r="Q2939" i="47" s="1"/>
  <c r="Q2790" i="47"/>
  <c r="Q3162" i="47"/>
  <c r="Q3177" i="47" s="1"/>
  <c r="S3402" i="47" s="1"/>
  <c r="Q3165" i="47"/>
  <c r="Q3180" i="47" s="1"/>
  <c r="S3405" i="47" s="1"/>
  <c r="Q2821" i="47"/>
  <c r="Q2869" i="47"/>
  <c r="S3298" i="47" s="1"/>
  <c r="Q2870" i="47"/>
  <c r="S3300" i="47" s="1"/>
  <c r="Q2815" i="47"/>
  <c r="Q2961" i="47" s="1"/>
  <c r="S3209" i="47" s="1"/>
  <c r="Q2810" i="47"/>
  <c r="Q2956" i="47" s="1"/>
  <c r="S3204" i="47" s="1"/>
  <c r="Q2846" i="47"/>
  <c r="Q2986" i="47" s="1"/>
  <c r="S3249" i="47" s="1"/>
  <c r="Q2849" i="47"/>
  <c r="S3260" i="47" s="1"/>
  <c r="Q2807" i="47"/>
  <c r="Q2953" i="47" s="1"/>
  <c r="S3201" i="47" s="1"/>
  <c r="Q2805" i="47"/>
  <c r="Q2951" i="47" s="1"/>
  <c r="S3199" i="47" s="1"/>
  <c r="Q2843" i="47"/>
  <c r="Q2983" i="47" s="1"/>
  <c r="S3246" i="47" s="1"/>
  <c r="Q2863" i="47"/>
  <c r="Q2997" i="47" s="1"/>
  <c r="S3284" i="47" s="1"/>
  <c r="Q2773" i="47"/>
  <c r="Q2930" i="47" s="1"/>
  <c r="Q2781" i="47"/>
  <c r="Q2938" i="47" s="1"/>
  <c r="Q2789" i="47"/>
  <c r="S3221" i="47" s="1"/>
  <c r="Q2768" i="47"/>
  <c r="Q2925" i="47" s="1"/>
  <c r="Q2776" i="47"/>
  <c r="Q2933" i="47" s="1"/>
  <c r="Q2784" i="47"/>
  <c r="Q2941" i="47" s="1"/>
  <c r="Q2792" i="47"/>
  <c r="Q3164" i="47"/>
  <c r="Q3179" i="47" s="1"/>
  <c r="S3404" i="47" s="1"/>
  <c r="Q2819" i="47"/>
  <c r="Q2820" i="47"/>
  <c r="Q2812" i="47"/>
  <c r="Q2958" i="47" s="1"/>
  <c r="S3206" i="47" s="1"/>
  <c r="Q2866" i="47"/>
  <c r="Q3000" i="47" s="1"/>
  <c r="S3287" i="47" s="1"/>
  <c r="Q2850" i="47"/>
  <c r="S3262" i="47" s="1"/>
  <c r="Q2848" i="47"/>
  <c r="S3258" i="47" s="1"/>
  <c r="Q2817" i="47"/>
  <c r="Q2963" i="47" s="1"/>
  <c r="S3211" i="47" s="1"/>
  <c r="Q2811" i="47"/>
  <c r="Q2957" i="47" s="1"/>
  <c r="S3205" i="47" s="1"/>
  <c r="Q2806" i="47"/>
  <c r="Q2952" i="47" s="1"/>
  <c r="S3200" i="47" s="1"/>
  <c r="Q2842" i="47"/>
  <c r="Q2982" i="47" s="1"/>
  <c r="S3245" i="47" s="1"/>
  <c r="Q2813" i="47"/>
  <c r="Q2959" i="47" s="1"/>
  <c r="S3207" i="47" s="1"/>
  <c r="M2771" i="47"/>
  <c r="M2928" i="47" s="1"/>
  <c r="M2779" i="47"/>
  <c r="M2936" i="47" s="1"/>
  <c r="M3111" i="47" s="1"/>
  <c r="M3123" i="47" s="1"/>
  <c r="O3394" i="47" s="1"/>
  <c r="M2787" i="47"/>
  <c r="O3219" i="47" s="1"/>
  <c r="M2766" i="47"/>
  <c r="M2923" i="47" s="1"/>
  <c r="M2774" i="47"/>
  <c r="M2931" i="47" s="1"/>
  <c r="M2782" i="47"/>
  <c r="M2939" i="47" s="1"/>
  <c r="M2790" i="47"/>
  <c r="M3162" i="47"/>
  <c r="M3177" i="47" s="1"/>
  <c r="O3402" i="47" s="1"/>
  <c r="M3165" i="47"/>
  <c r="M3180" i="47" s="1"/>
  <c r="O3405" i="47" s="1"/>
  <c r="M2867" i="47"/>
  <c r="M2849" i="47"/>
  <c r="O3260" i="47" s="1"/>
  <c r="M2844" i="47"/>
  <c r="M2984" i="47" s="1"/>
  <c r="O3247" i="47" s="1"/>
  <c r="M2816" i="47"/>
  <c r="M2962" i="47" s="1"/>
  <c r="O3210" i="47" s="1"/>
  <c r="M2824" i="47"/>
  <c r="O3222" i="47" s="1"/>
  <c r="M2810" i="47"/>
  <c r="M2956" i="47" s="1"/>
  <c r="O3204" i="47" s="1"/>
  <c r="M2846" i="47"/>
  <c r="M2986" i="47" s="1"/>
  <c r="O3249" i="47" s="1"/>
  <c r="M2809" i="47"/>
  <c r="M2955" i="47" s="1"/>
  <c r="O3203" i="47" s="1"/>
  <c r="M2837" i="47"/>
  <c r="M2977" i="47" s="1"/>
  <c r="O3237" i="47" s="1"/>
  <c r="M2863" i="47"/>
  <c r="M2997" i="47" s="1"/>
  <c r="O3284" i="47" s="1"/>
  <c r="M2843" i="47"/>
  <c r="M2983" i="47" s="1"/>
  <c r="O3246" i="47" s="1"/>
  <c r="M2773" i="47"/>
  <c r="M2930" i="47" s="1"/>
  <c r="M2781" i="47"/>
  <c r="M2938" i="47" s="1"/>
  <c r="M2789" i="47"/>
  <c r="O3221" i="47" s="1"/>
  <c r="M2768" i="47"/>
  <c r="M2925" i="47" s="1"/>
  <c r="M2776" i="47"/>
  <c r="M2933" i="47" s="1"/>
  <c r="M2784" i="47"/>
  <c r="M2941" i="47" s="1"/>
  <c r="M2792" i="47"/>
  <c r="M3164" i="47"/>
  <c r="M3179" i="47" s="1"/>
  <c r="O3404" i="47" s="1"/>
  <c r="M2819" i="47"/>
  <c r="M2822" i="47"/>
  <c r="M2841" i="47"/>
  <c r="M2981" i="47" s="1"/>
  <c r="O3244" i="47" s="1"/>
  <c r="M2815" i="47"/>
  <c r="M2961" i="47" s="1"/>
  <c r="O3209" i="47" s="1"/>
  <c r="M2864" i="47"/>
  <c r="M2998" i="47" s="1"/>
  <c r="O3285" i="47" s="1"/>
  <c r="M2866" i="47"/>
  <c r="M3000" i="47" s="1"/>
  <c r="O3287" i="47" s="1"/>
  <c r="M2845" i="47"/>
  <c r="M2985" i="47" s="1"/>
  <c r="O3248" i="47" s="1"/>
  <c r="M2870" i="47"/>
  <c r="O3300" i="47" s="1"/>
  <c r="M2806" i="47"/>
  <c r="M2952" i="47" s="1"/>
  <c r="O3200" i="47" s="1"/>
  <c r="M2805" i="47"/>
  <c r="M2951" i="47" s="1"/>
  <c r="O3199" i="47" s="1"/>
  <c r="M2808" i="47"/>
  <c r="M2954" i="47" s="1"/>
  <c r="O3202" i="47" s="1"/>
  <c r="M2767" i="47"/>
  <c r="M2924" i="47" s="1"/>
  <c r="M2775" i="47"/>
  <c r="M2932" i="47" s="1"/>
  <c r="M2783" i="47"/>
  <c r="M2940" i="47" s="1"/>
  <c r="M2791" i="47"/>
  <c r="O3223" i="47" s="1"/>
  <c r="M2770" i="47"/>
  <c r="M2927" i="47" s="1"/>
  <c r="M2778" i="47"/>
  <c r="M2935" i="47" s="1"/>
  <c r="M3110" i="47" s="1"/>
  <c r="M3122" i="47" s="1"/>
  <c r="O3393" i="47" s="1"/>
  <c r="M2786" i="47"/>
  <c r="O3218" i="47" s="1"/>
  <c r="M2882" i="47"/>
  <c r="M3167" i="47"/>
  <c r="M3182" i="47" s="1"/>
  <c r="O3407" i="47" s="1"/>
  <c r="M2820" i="47"/>
  <c r="M2818" i="47"/>
  <c r="M2865" i="47"/>
  <c r="M2999" i="47" s="1"/>
  <c r="O3286" i="47" s="1"/>
  <c r="M2839" i="47"/>
  <c r="M2979" i="47" s="1"/>
  <c r="O3242" i="47" s="1"/>
  <c r="M2869" i="47"/>
  <c r="O3298" i="47" s="1"/>
  <c r="M2840" i="47"/>
  <c r="M2980" i="47" s="1"/>
  <c r="O3243" i="47" s="1"/>
  <c r="M2868" i="47"/>
  <c r="O3296" i="47" s="1"/>
  <c r="M2823" i="47"/>
  <c r="O3220" i="47" s="1"/>
  <c r="M2807" i="47"/>
  <c r="M2953" i="47" s="1"/>
  <c r="O3201" i="47" s="1"/>
  <c r="M2814" i="47"/>
  <c r="M2960" i="47" s="1"/>
  <c r="O3208" i="47" s="1"/>
  <c r="M2813" i="47"/>
  <c r="M2959" i="47" s="1"/>
  <c r="O3207" i="47" s="1"/>
  <c r="M2769" i="47"/>
  <c r="M2926" i="47" s="1"/>
  <c r="M2777" i="47"/>
  <c r="M2934" i="47" s="1"/>
  <c r="M3109" i="47" s="1"/>
  <c r="M3121" i="47" s="1"/>
  <c r="O3392" i="47" s="1"/>
  <c r="M2785" i="47"/>
  <c r="O3217" i="47" s="1"/>
  <c r="M2847" i="47"/>
  <c r="M2772" i="47"/>
  <c r="M2929" i="47" s="1"/>
  <c r="M2780" i="47"/>
  <c r="M2937" i="47" s="1"/>
  <c r="M2788" i="47"/>
  <c r="M3166" i="47"/>
  <c r="M3181" i="47" s="1"/>
  <c r="O3406" i="47" s="1"/>
  <c r="M3163" i="47"/>
  <c r="M3178" i="47" s="1"/>
  <c r="O3403" i="47" s="1"/>
  <c r="M2821" i="47"/>
  <c r="M2811" i="47"/>
  <c r="M2957" i="47" s="1"/>
  <c r="O3205" i="47" s="1"/>
  <c r="M2817" i="47"/>
  <c r="M2963" i="47" s="1"/>
  <c r="O3211" i="47" s="1"/>
  <c r="M2812" i="47"/>
  <c r="M2958" i="47" s="1"/>
  <c r="O3206" i="47" s="1"/>
  <c r="M2825" i="47"/>
  <c r="O3224" i="47" s="1"/>
  <c r="M2848" i="47"/>
  <c r="O3258" i="47" s="1"/>
  <c r="M2850" i="47"/>
  <c r="O3262" i="47" s="1"/>
  <c r="M2804" i="47"/>
  <c r="M2950" i="47" s="1"/>
  <c r="O3198" i="47" s="1"/>
  <c r="M2842" i="47"/>
  <c r="M2982" i="47" s="1"/>
  <c r="O3245" i="47" s="1"/>
  <c r="M2838" i="47"/>
  <c r="M2978" i="47" s="1"/>
  <c r="O3240" i="47" s="1"/>
  <c r="M2862" i="47"/>
  <c r="M2996" i="47" s="1"/>
  <c r="O3283" i="47" s="1"/>
  <c r="D2585" i="47"/>
  <c r="V3315" i="47"/>
  <c r="D2600" i="47"/>
  <c r="V3216" i="47"/>
  <c r="V3292" i="47"/>
  <c r="V3254" i="47"/>
  <c r="D2607" i="47"/>
  <c r="V3337" i="47"/>
  <c r="V3323" i="47"/>
  <c r="D2593" i="47"/>
  <c r="D2587" i="47"/>
  <c r="V3319" i="47"/>
  <c r="D2589" i="47"/>
  <c r="R2842" i="47"/>
  <c r="R2982" i="47" s="1"/>
  <c r="T3245" i="47" s="1"/>
  <c r="R2813" i="47"/>
  <c r="R2959" i="47" s="1"/>
  <c r="T3207" i="47" s="1"/>
  <c r="R2809" i="47"/>
  <c r="R2955" i="47" s="1"/>
  <c r="T3203" i="47" s="1"/>
  <c r="R2805" i="47"/>
  <c r="R2951" i="47" s="1"/>
  <c r="T3199" i="47" s="1"/>
  <c r="R2807" i="47"/>
  <c r="R2953" i="47" s="1"/>
  <c r="T3201" i="47" s="1"/>
  <c r="R2862" i="47"/>
  <c r="R2996" i="47" s="1"/>
  <c r="T3283" i="47" s="1"/>
  <c r="R2837" i="47"/>
  <c r="R2977" i="47" s="1"/>
  <c r="T3237" i="47" s="1"/>
  <c r="R2814" i="47"/>
  <c r="R2960" i="47" s="1"/>
  <c r="T3208" i="47" s="1"/>
  <c r="R2772" i="47"/>
  <c r="R2929" i="47" s="1"/>
  <c r="R2771" i="47"/>
  <c r="R2928" i="47" s="1"/>
  <c r="R2783" i="47"/>
  <c r="R2940" i="47" s="1"/>
  <c r="R2822" i="47"/>
  <c r="R2784" i="47"/>
  <c r="R2941" i="47" s="1"/>
  <c r="R2777" i="47"/>
  <c r="R2934" i="47" s="1"/>
  <c r="R3109" i="47" s="1"/>
  <c r="R3121" i="47" s="1"/>
  <c r="T3392" i="47" s="1"/>
  <c r="R2820" i="47"/>
  <c r="R2786" i="47"/>
  <c r="T3218" i="47" s="1"/>
  <c r="R3164" i="47"/>
  <c r="R3179" i="47" s="1"/>
  <c r="T3404" i="47" s="1"/>
  <c r="R3165" i="47"/>
  <c r="R3180" i="47" s="1"/>
  <c r="T3405" i="47" s="1"/>
  <c r="R2868" i="47"/>
  <c r="T3296" i="47" s="1"/>
  <c r="R2840" i="47"/>
  <c r="R2980" i="47" s="1"/>
  <c r="T3243" i="47" s="1"/>
  <c r="R2815" i="47"/>
  <c r="R2961" i="47" s="1"/>
  <c r="T3209" i="47" s="1"/>
  <c r="R2844" i="47"/>
  <c r="R2984" i="47" s="1"/>
  <c r="T3247" i="47" s="1"/>
  <c r="R2864" i="47"/>
  <c r="R2998" i="47" s="1"/>
  <c r="T3285" i="47" s="1"/>
  <c r="R2810" i="47"/>
  <c r="R2956" i="47" s="1"/>
  <c r="T3204" i="47" s="1"/>
  <c r="R2843" i="47"/>
  <c r="R2983" i="47" s="1"/>
  <c r="T3246" i="47" s="1"/>
  <c r="R2766" i="47"/>
  <c r="R2923" i="47" s="1"/>
  <c r="R2774" i="47"/>
  <c r="R2931" i="47" s="1"/>
  <c r="R2773" i="47"/>
  <c r="R2930" i="47" s="1"/>
  <c r="R2787" i="47"/>
  <c r="T3219" i="47" s="1"/>
  <c r="R2882" i="47"/>
  <c r="R2788" i="47"/>
  <c r="R2781" i="47"/>
  <c r="R2938" i="47" s="1"/>
  <c r="R2847" i="47"/>
  <c r="R2790" i="47"/>
  <c r="R3166" i="47"/>
  <c r="R3181" i="47" s="1"/>
  <c r="T3406" i="47" s="1"/>
  <c r="R2867" i="47"/>
  <c r="R2865" i="47"/>
  <c r="R2999" i="47" s="1"/>
  <c r="T3286" i="47" s="1"/>
  <c r="R2848" i="47"/>
  <c r="T3258" i="47" s="1"/>
  <c r="R2823" i="47"/>
  <c r="T3220" i="47" s="1"/>
  <c r="R2849" i="47"/>
  <c r="T3260" i="47" s="1"/>
  <c r="R2817" i="47"/>
  <c r="R2963" i="47" s="1"/>
  <c r="T3211" i="47" s="1"/>
  <c r="R2866" i="47"/>
  <c r="R3000" i="47" s="1"/>
  <c r="T3287" i="47" s="1"/>
  <c r="R2768" i="47"/>
  <c r="R2925" i="47" s="1"/>
  <c r="R2767" i="47"/>
  <c r="R2924" i="47" s="1"/>
  <c r="R2775" i="47"/>
  <c r="R2932" i="47" s="1"/>
  <c r="R2791" i="47"/>
  <c r="T3223" i="47" s="1"/>
  <c r="R2776" i="47"/>
  <c r="R2933" i="47" s="1"/>
  <c r="R2792" i="47"/>
  <c r="R2785" i="47"/>
  <c r="T3217" i="47" s="1"/>
  <c r="R2778" i="47"/>
  <c r="R2935" i="47" s="1"/>
  <c r="R3110" i="47" s="1"/>
  <c r="R3122" i="47" s="1"/>
  <c r="T3393" i="47" s="1"/>
  <c r="R2821" i="47"/>
  <c r="R3167" i="47"/>
  <c r="R3182" i="47" s="1"/>
  <c r="T3407" i="47" s="1"/>
  <c r="R2839" i="47"/>
  <c r="R2979" i="47" s="1"/>
  <c r="T3242" i="47" s="1"/>
  <c r="R2812" i="47"/>
  <c r="R2958" i="47" s="1"/>
  <c r="T3206" i="47" s="1"/>
  <c r="R2870" i="47"/>
  <c r="T3300" i="47" s="1"/>
  <c r="R2845" i="47"/>
  <c r="R2985" i="47" s="1"/>
  <c r="T3248" i="47" s="1"/>
  <c r="R2816" i="47"/>
  <c r="R2962" i="47" s="1"/>
  <c r="T3210" i="47" s="1"/>
  <c r="R2846" i="47"/>
  <c r="R2986" i="47" s="1"/>
  <c r="T3249" i="47" s="1"/>
  <c r="R2806" i="47"/>
  <c r="R2952" i="47" s="1"/>
  <c r="T3200" i="47" s="1"/>
  <c r="R2838" i="47"/>
  <c r="R2978" i="47" s="1"/>
  <c r="T3240" i="47" s="1"/>
  <c r="R2808" i="47"/>
  <c r="R2954" i="47" s="1"/>
  <c r="T3202" i="47" s="1"/>
  <c r="R2770" i="47"/>
  <c r="R2927" i="47" s="1"/>
  <c r="R2769" i="47"/>
  <c r="R2926" i="47" s="1"/>
  <c r="R2779" i="47"/>
  <c r="R2936" i="47" s="1"/>
  <c r="R3111" i="47" s="1"/>
  <c r="R3123" i="47" s="1"/>
  <c r="T3394" i="47" s="1"/>
  <c r="R2818" i="47"/>
  <c r="R2780" i="47"/>
  <c r="R2937" i="47" s="1"/>
  <c r="R2819" i="47"/>
  <c r="R2789" i="47"/>
  <c r="T3221" i="47" s="1"/>
  <c r="R2782" i="47"/>
  <c r="R2939" i="47" s="1"/>
  <c r="R3162" i="47"/>
  <c r="R3177" i="47" s="1"/>
  <c r="T3402" i="47" s="1"/>
  <c r="R3163" i="47"/>
  <c r="R3178" i="47" s="1"/>
  <c r="T3403" i="47" s="1"/>
  <c r="R2841" i="47"/>
  <c r="R2981" i="47" s="1"/>
  <c r="T3244" i="47" s="1"/>
  <c r="R2824" i="47"/>
  <c r="T3222" i="47" s="1"/>
  <c r="R2869" i="47"/>
  <c r="T3298" i="47" s="1"/>
  <c r="R2811" i="47"/>
  <c r="R2957" i="47" s="1"/>
  <c r="T3205" i="47" s="1"/>
  <c r="R2850" i="47"/>
  <c r="T3262" i="47" s="1"/>
  <c r="R2825" i="47"/>
  <c r="T3224" i="47" s="1"/>
  <c r="R2804" i="47"/>
  <c r="R2950" i="47" s="1"/>
  <c r="T3198" i="47" s="1"/>
  <c r="R2863" i="47"/>
  <c r="R2997" i="47" s="1"/>
  <c r="T3284" i="47" s="1"/>
  <c r="N2808" i="47"/>
  <c r="N2954" i="47" s="1"/>
  <c r="P3202" i="47" s="1"/>
  <c r="N2843" i="47"/>
  <c r="N2983" i="47" s="1"/>
  <c r="P3246" i="47" s="1"/>
  <c r="N2768" i="47"/>
  <c r="N2925" i="47" s="1"/>
  <c r="N2767" i="47"/>
  <c r="N2924" i="47" s="1"/>
  <c r="N2775" i="47"/>
  <c r="N2932" i="47" s="1"/>
  <c r="N2785" i="47"/>
  <c r="P3217" i="47" s="1"/>
  <c r="N2882" i="47"/>
  <c r="N2790" i="47"/>
  <c r="N2787" i="47"/>
  <c r="P3219" i="47" s="1"/>
  <c r="N2780" i="47"/>
  <c r="N2937" i="47" s="1"/>
  <c r="N2819" i="47"/>
  <c r="N3163" i="47"/>
  <c r="N3178" i="47" s="1"/>
  <c r="P3403" i="47" s="1"/>
  <c r="N2839" i="47"/>
  <c r="N2979" i="47" s="1"/>
  <c r="P3242" i="47" s="1"/>
  <c r="N2815" i="47"/>
  <c r="N2961" i="47" s="1"/>
  <c r="P3209" i="47" s="1"/>
  <c r="N2841" i="47"/>
  <c r="N2981" i="47" s="1"/>
  <c r="P3244" i="47" s="1"/>
  <c r="N2868" i="47"/>
  <c r="P3296" i="47" s="1"/>
  <c r="N2825" i="47"/>
  <c r="P3224" i="47" s="1"/>
  <c r="N2870" i="47"/>
  <c r="P3300" i="47" s="1"/>
  <c r="N2806" i="47"/>
  <c r="N2952" i="47" s="1"/>
  <c r="P3200" i="47" s="1"/>
  <c r="N2842" i="47"/>
  <c r="N2982" i="47" s="1"/>
  <c r="P3245" i="47" s="1"/>
  <c r="N2837" i="47"/>
  <c r="N2977" i="47" s="1"/>
  <c r="P3237" i="47" s="1"/>
  <c r="N2838" i="47"/>
  <c r="N2978" i="47" s="1"/>
  <c r="P3240" i="47" s="1"/>
  <c r="N2770" i="47"/>
  <c r="N2927" i="47" s="1"/>
  <c r="N2769" i="47"/>
  <c r="N2926" i="47" s="1"/>
  <c r="N2776" i="47"/>
  <c r="N2933" i="47" s="1"/>
  <c r="N2789" i="47"/>
  <c r="P3221" i="47" s="1"/>
  <c r="N2778" i="47"/>
  <c r="N2935" i="47" s="1"/>
  <c r="N3110" i="47" s="1"/>
  <c r="N3122" i="47" s="1"/>
  <c r="P3393" i="47" s="1"/>
  <c r="N2821" i="47"/>
  <c r="N2791" i="47"/>
  <c r="P3223" i="47" s="1"/>
  <c r="N2784" i="47"/>
  <c r="N2941" i="47" s="1"/>
  <c r="N3162" i="47"/>
  <c r="N3177" i="47" s="1"/>
  <c r="P3402" i="47" s="1"/>
  <c r="N3165" i="47"/>
  <c r="N3180" i="47" s="1"/>
  <c r="P3405" i="47" s="1"/>
  <c r="N2845" i="47"/>
  <c r="N2985" i="47" s="1"/>
  <c r="P3248" i="47" s="1"/>
  <c r="N2817" i="47"/>
  <c r="N2963" i="47" s="1"/>
  <c r="P3211" i="47" s="1"/>
  <c r="N2866" i="47"/>
  <c r="N3000" i="47" s="1"/>
  <c r="P3287" i="47" s="1"/>
  <c r="N2810" i="47"/>
  <c r="N2956" i="47" s="1"/>
  <c r="P3204" i="47" s="1"/>
  <c r="N2869" i="47"/>
  <c r="P3298" i="47" s="1"/>
  <c r="N2850" i="47"/>
  <c r="P3262" i="47" s="1"/>
  <c r="N2804" i="47"/>
  <c r="N2950" i="47" s="1"/>
  <c r="P3198" i="47" s="1"/>
  <c r="N2813" i="47"/>
  <c r="N2959" i="47" s="1"/>
  <c r="P3207" i="47" s="1"/>
  <c r="N2772" i="47"/>
  <c r="N2929" i="47" s="1"/>
  <c r="N2771" i="47"/>
  <c r="N2928" i="47" s="1"/>
  <c r="N2777" i="47"/>
  <c r="N2934" i="47" s="1"/>
  <c r="N3109" i="47" s="1"/>
  <c r="N3121" i="47" s="1"/>
  <c r="P3392" i="47" s="1"/>
  <c r="N2820" i="47"/>
  <c r="N2782" i="47"/>
  <c r="N2939" i="47" s="1"/>
  <c r="N2779" i="47"/>
  <c r="N2936" i="47" s="1"/>
  <c r="N3111" i="47" s="1"/>
  <c r="N3123" i="47" s="1"/>
  <c r="P3394" i="47" s="1"/>
  <c r="N2818" i="47"/>
  <c r="N2788" i="47"/>
  <c r="N3164" i="47"/>
  <c r="N3179" i="47" s="1"/>
  <c r="P3404" i="47" s="1"/>
  <c r="N3167" i="47"/>
  <c r="N3182" i="47" s="1"/>
  <c r="P3407" i="47" s="1"/>
  <c r="N2811" i="47"/>
  <c r="N2957" i="47" s="1"/>
  <c r="P3205" i="47" s="1"/>
  <c r="N2849" i="47"/>
  <c r="P3260" i="47" s="1"/>
  <c r="N2844" i="47"/>
  <c r="N2984" i="47" s="1"/>
  <c r="P3247" i="47" s="1"/>
  <c r="N2823" i="47"/>
  <c r="P3220" i="47" s="1"/>
  <c r="N2824" i="47"/>
  <c r="P3222" i="47" s="1"/>
  <c r="N2864" i="47"/>
  <c r="N2998" i="47" s="1"/>
  <c r="P3285" i="47" s="1"/>
  <c r="N2807" i="47"/>
  <c r="N2953" i="47" s="1"/>
  <c r="P3201" i="47" s="1"/>
  <c r="N2862" i="47"/>
  <c r="N2996" i="47" s="1"/>
  <c r="P3283" i="47" s="1"/>
  <c r="N2814" i="47"/>
  <c r="N2960" i="47" s="1"/>
  <c r="P3208" i="47" s="1"/>
  <c r="N2766" i="47"/>
  <c r="N2923" i="47" s="1"/>
  <c r="N2774" i="47"/>
  <c r="N2931" i="47" s="1"/>
  <c r="N2773" i="47"/>
  <c r="N2930" i="47" s="1"/>
  <c r="N2781" i="47"/>
  <c r="N2938" i="47" s="1"/>
  <c r="N2847" i="47"/>
  <c r="N2786" i="47"/>
  <c r="P3218" i="47" s="1"/>
  <c r="N2783" i="47"/>
  <c r="N2940" i="47" s="1"/>
  <c r="N2822" i="47"/>
  <c r="N2792" i="47"/>
  <c r="N3166" i="47"/>
  <c r="N3181" i="47" s="1"/>
  <c r="P3406" i="47" s="1"/>
  <c r="N2867" i="47"/>
  <c r="N2816" i="47"/>
  <c r="N2962" i="47" s="1"/>
  <c r="P3210" i="47" s="1"/>
  <c r="N2848" i="47"/>
  <c r="P3258" i="47" s="1"/>
  <c r="N2846" i="47"/>
  <c r="N2986" i="47" s="1"/>
  <c r="P3249" i="47" s="1"/>
  <c r="N2865" i="47"/>
  <c r="N2999" i="47" s="1"/>
  <c r="P3286" i="47" s="1"/>
  <c r="N2840" i="47"/>
  <c r="N2980" i="47" s="1"/>
  <c r="P3243" i="47" s="1"/>
  <c r="N2812" i="47"/>
  <c r="N2958" i="47" s="1"/>
  <c r="P3206" i="47" s="1"/>
  <c r="N2805" i="47"/>
  <c r="N2951" i="47" s="1"/>
  <c r="P3199" i="47" s="1"/>
  <c r="N2809" i="47"/>
  <c r="N2955" i="47" s="1"/>
  <c r="P3203" i="47" s="1"/>
  <c r="N2863" i="47"/>
  <c r="N2997" i="47" s="1"/>
  <c r="P3284" i="47" s="1"/>
  <c r="B158" i="35"/>
  <c r="F158" i="35"/>
  <c r="C158" i="35"/>
  <c r="G158" i="35"/>
  <c r="D158" i="35"/>
  <c r="E158" i="35"/>
  <c r="C158" i="36"/>
  <c r="G158" i="36"/>
  <c r="E158" i="36"/>
  <c r="F158" i="36"/>
  <c r="B158" i="36"/>
  <c r="D158" i="36"/>
  <c r="D158" i="37"/>
  <c r="C158" i="37"/>
  <c r="E158" i="37"/>
  <c r="F158" i="37"/>
  <c r="D158" i="38"/>
  <c r="B158" i="37"/>
  <c r="G158" i="37"/>
  <c r="E158" i="38"/>
  <c r="F158" i="38"/>
  <c r="C158" i="34"/>
  <c r="G158" i="34"/>
  <c r="G158" i="38"/>
  <c r="B158" i="38"/>
  <c r="C158" i="38"/>
  <c r="B158" i="34"/>
  <c r="F158" i="34"/>
  <c r="D158" i="34"/>
  <c r="E158" i="34"/>
  <c r="B124" i="41"/>
  <c r="B3434" i="47" l="1"/>
  <c r="D3433" i="47"/>
  <c r="B3446" i="47"/>
  <c r="B4002" i="47" s="1"/>
  <c r="B4053" i="47" s="1"/>
  <c r="B4099" i="47" s="1"/>
  <c r="B3545" i="47"/>
  <c r="C3553" i="47"/>
  <c r="C3647" i="47" s="1"/>
  <c r="C3764" i="47" s="1"/>
  <c r="B3427" i="47"/>
  <c r="B3541" i="47"/>
  <c r="B3562" i="47"/>
  <c r="B3542" i="47"/>
  <c r="B3636" i="47" s="1"/>
  <c r="C3726" i="47" s="1"/>
  <c r="B3543" i="47"/>
  <c r="B3637" i="47" s="1"/>
  <c r="C3727" i="47" s="1"/>
  <c r="G3446" i="47"/>
  <c r="G4002" i="47" s="1"/>
  <c r="G4053" i="47" s="1"/>
  <c r="G4099" i="47" s="1"/>
  <c r="G4271" i="47" s="1"/>
  <c r="C3545" i="47"/>
  <c r="C3563" i="47"/>
  <c r="B3548" i="47"/>
  <c r="B3642" i="47" s="1"/>
  <c r="C3732" i="47" s="1"/>
  <c r="B3551" i="47"/>
  <c r="B3645" i="47" s="1"/>
  <c r="C3735" i="47" s="1"/>
  <c r="C3428" i="47"/>
  <c r="B3561" i="47"/>
  <c r="D3434" i="47"/>
  <c r="B3445" i="47"/>
  <c r="B4001" i="47" s="1"/>
  <c r="B4052" i="47" s="1"/>
  <c r="B4098" i="47" s="1"/>
  <c r="G3554" i="47"/>
  <c r="C3447" i="47"/>
  <c r="C4003" i="47" s="1"/>
  <c r="C4054" i="47" s="1"/>
  <c r="C4100" i="47" s="1"/>
  <c r="C4274" i="47" s="1"/>
  <c r="B3560" i="47"/>
  <c r="C3430" i="47"/>
  <c r="B3553" i="47"/>
  <c r="G3562" i="47"/>
  <c r="B3564" i="47"/>
  <c r="B3567" i="47"/>
  <c r="B3424" i="47"/>
  <c r="D3432" i="47"/>
  <c r="B3546" i="47"/>
  <c r="G3565" i="47"/>
  <c r="C3542" i="47"/>
  <c r="C3565" i="47"/>
  <c r="C3547" i="47"/>
  <c r="C3641" i="47" s="1"/>
  <c r="C3758" i="47" s="1"/>
  <c r="C3432" i="47"/>
  <c r="G3564" i="47"/>
  <c r="D3565" i="47"/>
  <c r="D3431" i="47"/>
  <c r="D3567" i="47"/>
  <c r="G3553" i="47"/>
  <c r="B3429" i="47"/>
  <c r="G3443" i="47"/>
  <c r="G3999" i="47" s="1"/>
  <c r="B3563" i="47"/>
  <c r="G3447" i="47"/>
  <c r="G4003" i="47" s="1"/>
  <c r="C3551" i="47"/>
  <c r="C3645" i="47" s="1"/>
  <c r="C3762" i="47" s="1"/>
  <c r="C3554" i="47"/>
  <c r="C3648" i="47" s="1"/>
  <c r="C3765" i="47" s="1"/>
  <c r="B3550" i="47"/>
  <c r="B3644" i="47" s="1"/>
  <c r="C3734" i="47" s="1"/>
  <c r="D3563" i="47"/>
  <c r="B3432" i="47"/>
  <c r="G3552" i="47"/>
  <c r="G3646" i="47" s="1"/>
  <c r="C3871" i="47" s="1"/>
  <c r="D3550" i="47"/>
  <c r="D3644" i="47" s="1"/>
  <c r="C3788" i="47" s="1"/>
  <c r="C3429" i="47"/>
  <c r="B4271" i="47"/>
  <c r="B4270" i="47"/>
  <c r="B3639" i="47"/>
  <c r="C3729" i="47" s="1"/>
  <c r="B3635" i="47"/>
  <c r="C3725" i="47" s="1"/>
  <c r="C3639" i="47"/>
  <c r="C3756" i="47" s="1"/>
  <c r="G3648" i="47"/>
  <c r="C3873" i="47" s="1"/>
  <c r="B3647" i="47"/>
  <c r="C3737" i="47" s="1"/>
  <c r="B3640" i="47"/>
  <c r="C3730" i="47" s="1"/>
  <c r="C3636" i="47"/>
  <c r="C3753" i="47" s="1"/>
  <c r="G3647" i="47"/>
  <c r="C3872" i="47" s="1"/>
  <c r="G4050" i="47"/>
  <c r="G4096" i="47" s="1"/>
  <c r="G4054" i="47"/>
  <c r="G4100" i="47" s="1"/>
  <c r="N3001" i="47"/>
  <c r="P3292" i="47"/>
  <c r="N2987" i="47"/>
  <c r="P3254" i="47"/>
  <c r="P3214" i="47"/>
  <c r="N2966" i="47"/>
  <c r="P3215" i="47"/>
  <c r="N2967" i="47"/>
  <c r="R2965" i="47"/>
  <c r="T3213" i="47"/>
  <c r="T3215" i="47"/>
  <c r="R2967" i="47"/>
  <c r="R2966" i="47"/>
  <c r="T3214" i="47"/>
  <c r="E3446" i="47"/>
  <c r="E3566" i="47"/>
  <c r="M2987" i="47"/>
  <c r="O3254" i="47"/>
  <c r="M2897" i="47"/>
  <c r="M3092" i="47" s="1"/>
  <c r="O3313" i="47" s="1"/>
  <c r="M2907" i="47"/>
  <c r="O3357" i="47" s="1"/>
  <c r="M2906" i="47"/>
  <c r="M3099" i="47" s="1"/>
  <c r="O3322" i="47" s="1"/>
  <c r="M2898" i="47"/>
  <c r="M2896" i="47"/>
  <c r="M3091" i="47" s="1"/>
  <c r="O3312" i="47" s="1"/>
  <c r="M2901" i="47"/>
  <c r="M2909" i="47"/>
  <c r="O3359" i="47" s="1"/>
  <c r="M2910" i="47"/>
  <c r="M2899" i="47"/>
  <c r="M3093" i="47" s="1"/>
  <c r="O3315" i="47" s="1"/>
  <c r="M2914" i="47"/>
  <c r="M2903" i="47"/>
  <c r="M3096" i="47" s="1"/>
  <c r="O3319" i="47" s="1"/>
  <c r="M2911" i="47"/>
  <c r="M2912" i="47"/>
  <c r="M2904" i="47"/>
  <c r="M3097" i="47" s="1"/>
  <c r="O3320" i="47" s="1"/>
  <c r="M2908" i="47"/>
  <c r="O3358" i="47" s="1"/>
  <c r="M2905" i="47"/>
  <c r="M3098" i="47" s="1"/>
  <c r="O3321" i="47" s="1"/>
  <c r="M2913" i="47"/>
  <c r="M2900" i="47"/>
  <c r="M3094" i="47" s="1"/>
  <c r="O3316" i="47" s="1"/>
  <c r="M2902" i="47"/>
  <c r="M3095" i="47" s="1"/>
  <c r="O3318" i="47" s="1"/>
  <c r="Q2966" i="47"/>
  <c r="S3214" i="47"/>
  <c r="Q2967" i="47"/>
  <c r="S3215" i="47"/>
  <c r="Q2964" i="47"/>
  <c r="S3212" i="47"/>
  <c r="Q2968" i="47"/>
  <c r="S3216" i="47"/>
  <c r="B3447" i="47"/>
  <c r="B4003" i="47" s="1"/>
  <c r="G3445" i="47"/>
  <c r="G4001" i="47" s="1"/>
  <c r="G4052" i="47" s="1"/>
  <c r="G4098" i="47" s="1"/>
  <c r="C3434" i="47"/>
  <c r="B3566" i="47"/>
  <c r="B3612" i="47" s="1"/>
  <c r="B3750" i="47" s="1"/>
  <c r="D3554" i="47"/>
  <c r="B3547" i="47"/>
  <c r="C3431" i="47"/>
  <c r="E3442" i="47"/>
  <c r="E3562" i="47"/>
  <c r="E3433" i="47"/>
  <c r="E3553" i="47"/>
  <c r="C3425" i="47"/>
  <c r="B3565" i="47"/>
  <c r="B3611" i="47" s="1"/>
  <c r="B3749" i="47" s="1"/>
  <c r="E3652" i="47"/>
  <c r="C3823" i="47" s="1"/>
  <c r="E3640" i="47"/>
  <c r="C3811" i="47" s="1"/>
  <c r="F3651" i="47"/>
  <c r="C3849" i="47" s="1"/>
  <c r="G3636" i="47"/>
  <c r="C3861" i="47" s="1"/>
  <c r="F3638" i="47"/>
  <c r="C3836" i="47" s="1"/>
  <c r="C3635" i="47"/>
  <c r="C3752" i="47" s="1"/>
  <c r="D3642" i="47"/>
  <c r="C3786" i="47" s="1"/>
  <c r="E3651" i="47"/>
  <c r="C3822" i="47" s="1"/>
  <c r="E3650" i="47"/>
  <c r="C3821" i="47" s="1"/>
  <c r="F3653" i="47"/>
  <c r="C3851" i="47" s="1"/>
  <c r="C3638" i="47"/>
  <c r="C3755" i="47" s="1"/>
  <c r="F3640" i="47"/>
  <c r="C3838" i="47" s="1"/>
  <c r="G3649" i="47"/>
  <c r="C3874" i="47" s="1"/>
  <c r="D3636" i="47"/>
  <c r="C3780" i="47" s="1"/>
  <c r="G3640" i="47"/>
  <c r="C3865" i="47" s="1"/>
  <c r="D3643" i="47"/>
  <c r="C3787" i="47" s="1"/>
  <c r="D3552" i="47"/>
  <c r="B3544" i="47"/>
  <c r="B3554" i="47"/>
  <c r="B3425" i="47"/>
  <c r="B3591" i="47" s="1"/>
  <c r="B3729" i="47" s="1"/>
  <c r="S2965" i="47"/>
  <c r="U3213" i="47"/>
  <c r="S2987" i="47"/>
  <c r="U3254" i="47"/>
  <c r="S2968" i="47"/>
  <c r="U3216" i="47"/>
  <c r="L2964" i="47"/>
  <c r="N3212" i="47"/>
  <c r="N3213" i="47"/>
  <c r="L2965" i="47"/>
  <c r="P2968" i="47"/>
  <c r="R3216" i="47"/>
  <c r="P2902" i="47"/>
  <c r="P3095" i="47" s="1"/>
  <c r="R3318" i="47" s="1"/>
  <c r="P2910" i="47"/>
  <c r="P2911" i="47"/>
  <c r="P2897" i="47"/>
  <c r="P3092" i="47" s="1"/>
  <c r="R3313" i="47" s="1"/>
  <c r="P2913" i="47"/>
  <c r="P2904" i="47"/>
  <c r="P3097" i="47" s="1"/>
  <c r="R3320" i="47" s="1"/>
  <c r="P2912" i="47"/>
  <c r="P2907" i="47"/>
  <c r="R3357" i="47" s="1"/>
  <c r="P2903" i="47"/>
  <c r="P3096" i="47" s="1"/>
  <c r="R3319" i="47" s="1"/>
  <c r="P2896" i="47"/>
  <c r="P3091" i="47" s="1"/>
  <c r="R3312" i="47" s="1"/>
  <c r="P2906" i="47"/>
  <c r="P3099" i="47" s="1"/>
  <c r="R3322" i="47" s="1"/>
  <c r="P2914" i="47"/>
  <c r="P2901" i="47"/>
  <c r="P2899" i="47"/>
  <c r="P3093" i="47" s="1"/>
  <c r="R3315" i="47" s="1"/>
  <c r="P2898" i="47"/>
  <c r="P2908" i="47"/>
  <c r="R3358" i="47" s="1"/>
  <c r="P2909" i="47"/>
  <c r="R3359" i="47" s="1"/>
  <c r="P2905" i="47"/>
  <c r="P3098" i="47" s="1"/>
  <c r="R3321" i="47" s="1"/>
  <c r="P2900" i="47"/>
  <c r="P3094" i="47" s="1"/>
  <c r="R3316" i="47" s="1"/>
  <c r="B3442" i="47"/>
  <c r="B3998" i="47" s="1"/>
  <c r="B4049" i="47" s="1"/>
  <c r="B4095" i="47" s="1"/>
  <c r="C3549" i="47"/>
  <c r="B3444" i="47"/>
  <c r="B4000" i="47" s="1"/>
  <c r="B4051" i="47" s="1"/>
  <c r="B4097" i="47" s="1"/>
  <c r="D3443" i="47"/>
  <c r="D3999" i="47" s="1"/>
  <c r="D4050" i="47" s="1"/>
  <c r="D4096" i="47" s="1"/>
  <c r="B3552" i="47"/>
  <c r="G3432" i="47"/>
  <c r="C3567" i="47"/>
  <c r="C3613" i="47" s="1"/>
  <c r="B3778" i="47" s="1"/>
  <c r="D3430" i="47"/>
  <c r="B3430" i="47"/>
  <c r="C3445" i="47"/>
  <c r="C4001" i="47" s="1"/>
  <c r="D3551" i="47"/>
  <c r="B3433" i="47"/>
  <c r="G3433" i="47"/>
  <c r="G3599" i="47" s="1"/>
  <c r="B3872" i="47" s="1"/>
  <c r="C3427" i="47"/>
  <c r="C3593" i="47" s="1"/>
  <c r="B3758" i="47" s="1"/>
  <c r="B3440" i="47"/>
  <c r="B3996" i="47" s="1"/>
  <c r="B4047" i="47" s="1"/>
  <c r="B4093" i="47" s="1"/>
  <c r="D3447" i="47"/>
  <c r="D4003" i="47" s="1"/>
  <c r="N2964" i="47"/>
  <c r="P3212" i="47"/>
  <c r="P3213" i="47"/>
  <c r="N2965" i="47"/>
  <c r="N2898" i="47"/>
  <c r="N2906" i="47"/>
  <c r="N3099" i="47" s="1"/>
  <c r="P3322" i="47" s="1"/>
  <c r="N2914" i="47"/>
  <c r="N2901" i="47"/>
  <c r="N2899" i="47"/>
  <c r="N3093" i="47" s="1"/>
  <c r="P3315" i="47" s="1"/>
  <c r="N2900" i="47"/>
  <c r="N3094" i="47" s="1"/>
  <c r="P3316" i="47" s="1"/>
  <c r="N2908" i="47"/>
  <c r="P3358" i="47" s="1"/>
  <c r="N2907" i="47"/>
  <c r="P3357" i="47" s="1"/>
  <c r="N2911" i="47"/>
  <c r="N2913" i="47"/>
  <c r="N2902" i="47"/>
  <c r="N3095" i="47" s="1"/>
  <c r="P3318" i="47" s="1"/>
  <c r="N2910" i="47"/>
  <c r="N2903" i="47"/>
  <c r="N3096" i="47" s="1"/>
  <c r="P3319" i="47" s="1"/>
  <c r="N2905" i="47"/>
  <c r="N3098" i="47" s="1"/>
  <c r="P3321" i="47" s="1"/>
  <c r="N2896" i="47"/>
  <c r="N3091" i="47" s="1"/>
  <c r="P3312" i="47" s="1"/>
  <c r="N2904" i="47"/>
  <c r="N3097" i="47" s="1"/>
  <c r="P3320" i="47" s="1"/>
  <c r="N2912" i="47"/>
  <c r="N2897" i="47"/>
  <c r="N3092" i="47" s="1"/>
  <c r="P3313" i="47" s="1"/>
  <c r="N2909" i="47"/>
  <c r="P3359" i="47" s="1"/>
  <c r="R2905" i="47"/>
  <c r="R3098" i="47" s="1"/>
  <c r="T3321" i="47" s="1"/>
  <c r="R2913" i="47"/>
  <c r="R2902" i="47"/>
  <c r="R3095" i="47" s="1"/>
  <c r="T3318" i="47" s="1"/>
  <c r="R2910" i="47"/>
  <c r="R2901" i="47"/>
  <c r="R2907" i="47"/>
  <c r="T3357" i="47" s="1"/>
  <c r="R2896" i="47"/>
  <c r="R3091" i="47" s="1"/>
  <c r="T3312" i="47" s="1"/>
  <c r="R2904" i="47"/>
  <c r="R3097" i="47" s="1"/>
  <c r="T3320" i="47" s="1"/>
  <c r="R2912" i="47"/>
  <c r="R2899" i="47"/>
  <c r="R3093" i="47" s="1"/>
  <c r="T3315" i="47" s="1"/>
  <c r="R2909" i="47"/>
  <c r="T3359" i="47" s="1"/>
  <c r="R2898" i="47"/>
  <c r="R2906" i="47"/>
  <c r="R3099" i="47" s="1"/>
  <c r="T3322" i="47" s="1"/>
  <c r="R2914" i="47"/>
  <c r="R2903" i="47"/>
  <c r="R3096" i="47" s="1"/>
  <c r="T3319" i="47" s="1"/>
  <c r="R2911" i="47"/>
  <c r="R2900" i="47"/>
  <c r="R3094" i="47" s="1"/>
  <c r="T3316" i="47" s="1"/>
  <c r="R2908" i="47"/>
  <c r="T3358" i="47" s="1"/>
  <c r="R2897" i="47"/>
  <c r="R3092" i="47" s="1"/>
  <c r="T3313" i="47" s="1"/>
  <c r="M2964" i="47"/>
  <c r="O3212" i="47"/>
  <c r="M2968" i="47"/>
  <c r="O3216" i="47"/>
  <c r="M3001" i="47"/>
  <c r="O3292" i="47"/>
  <c r="Q2965" i="47"/>
  <c r="S3213" i="47"/>
  <c r="B3443" i="47"/>
  <c r="B3999" i="47" s="1"/>
  <c r="E3444" i="47"/>
  <c r="E3564" i="47"/>
  <c r="G3434" i="47"/>
  <c r="B3549" i="47"/>
  <c r="B3431" i="47"/>
  <c r="G3635" i="47"/>
  <c r="C3860" i="47" s="1"/>
  <c r="F3643" i="47"/>
  <c r="C3841" i="47" s="1"/>
  <c r="C3652" i="47"/>
  <c r="C3769" i="47" s="1"/>
  <c r="C3651" i="47"/>
  <c r="C3768" i="47" s="1"/>
  <c r="D3638" i="47"/>
  <c r="C3782" i="47" s="1"/>
  <c r="G3644" i="47"/>
  <c r="C3869" i="47" s="1"/>
  <c r="D3649" i="47"/>
  <c r="C3793" i="47" s="1"/>
  <c r="G3637" i="47"/>
  <c r="C3862" i="47" s="1"/>
  <c r="F3649" i="47"/>
  <c r="C3847" i="47" s="1"/>
  <c r="E3653" i="47"/>
  <c r="C3824" i="47" s="1"/>
  <c r="F3636" i="47"/>
  <c r="C3834" i="47" s="1"/>
  <c r="G3641" i="47"/>
  <c r="C3866" i="47" s="1"/>
  <c r="D3652" i="47"/>
  <c r="C3796" i="47" s="1"/>
  <c r="E3637" i="47"/>
  <c r="C3808" i="47" s="1"/>
  <c r="D3639" i="47"/>
  <c r="C3783" i="47" s="1"/>
  <c r="C3433" i="47"/>
  <c r="G3567" i="47"/>
  <c r="G3613" i="47" s="1"/>
  <c r="B3886" i="47" s="1"/>
  <c r="C3443" i="47"/>
  <c r="C3999" i="47" s="1"/>
  <c r="C4050" i="47" s="1"/>
  <c r="C4096" i="47" s="1"/>
  <c r="O2903" i="47"/>
  <c r="O3096" i="47" s="1"/>
  <c r="Q3319" i="47" s="1"/>
  <c r="O2896" i="47"/>
  <c r="O3091" i="47" s="1"/>
  <c r="Q3312" i="47" s="1"/>
  <c r="O2911" i="47"/>
  <c r="O2902" i="47"/>
  <c r="O3095" i="47" s="1"/>
  <c r="Q3318" i="47" s="1"/>
  <c r="O2907" i="47"/>
  <c r="Q3357" i="47" s="1"/>
  <c r="O2905" i="47"/>
  <c r="O3098" i="47" s="1"/>
  <c r="Q3321" i="47" s="1"/>
  <c r="O2897" i="47"/>
  <c r="O3092" i="47" s="1"/>
  <c r="Q3313" i="47" s="1"/>
  <c r="O2906" i="47"/>
  <c r="O3099" i="47" s="1"/>
  <c r="Q3322" i="47" s="1"/>
  <c r="O2900" i="47"/>
  <c r="O3094" i="47" s="1"/>
  <c r="Q3316" i="47" s="1"/>
  <c r="O2899" i="47"/>
  <c r="O3093" i="47" s="1"/>
  <c r="Q3315" i="47" s="1"/>
  <c r="O2909" i="47"/>
  <c r="Q3359" i="47" s="1"/>
  <c r="O2904" i="47"/>
  <c r="O3097" i="47" s="1"/>
  <c r="Q3320" i="47" s="1"/>
  <c r="O2912" i="47"/>
  <c r="O2898" i="47"/>
  <c r="O2901" i="47"/>
  <c r="O2913" i="47"/>
  <c r="O2914" i="47"/>
  <c r="O2910" i="47"/>
  <c r="O2908" i="47"/>
  <c r="Q3358" i="47" s="1"/>
  <c r="U3212" i="47"/>
  <c r="S2964" i="47"/>
  <c r="U3292" i="47"/>
  <c r="S3001" i="47"/>
  <c r="E3445" i="47"/>
  <c r="E3565" i="47"/>
  <c r="L2987" i="47"/>
  <c r="N3254" i="47"/>
  <c r="N3292" i="47"/>
  <c r="L3001" i="47"/>
  <c r="L2967" i="47"/>
  <c r="N3215" i="47"/>
  <c r="P3001" i="47"/>
  <c r="R3292" i="47"/>
  <c r="P2987" i="47"/>
  <c r="R3254" i="47"/>
  <c r="E3441" i="47"/>
  <c r="E3561" i="47"/>
  <c r="E3434" i="47"/>
  <c r="E3554" i="47"/>
  <c r="P3216" i="47"/>
  <c r="N2968" i="47"/>
  <c r="R2964" i="47"/>
  <c r="T3212" i="47"/>
  <c r="R2987" i="47"/>
  <c r="T3254" i="47"/>
  <c r="M2967" i="47"/>
  <c r="O3215" i="47"/>
  <c r="M2966" i="47"/>
  <c r="O3214" i="47"/>
  <c r="M2965" i="47"/>
  <c r="O3213" i="47"/>
  <c r="S3254" i="47"/>
  <c r="Q2987" i="47"/>
  <c r="Q2898" i="47"/>
  <c r="Q2906" i="47"/>
  <c r="Q3099" i="47" s="1"/>
  <c r="S3322" i="47" s="1"/>
  <c r="Q2914" i="47"/>
  <c r="Q2903" i="47"/>
  <c r="Q3096" i="47" s="1"/>
  <c r="S3319" i="47" s="1"/>
  <c r="Q2911" i="47"/>
  <c r="Q2900" i="47"/>
  <c r="Q3094" i="47" s="1"/>
  <c r="S3316" i="47" s="1"/>
  <c r="Q2908" i="47"/>
  <c r="S3358" i="47" s="1"/>
  <c r="Q2897" i="47"/>
  <c r="Q3092" i="47" s="1"/>
  <c r="S3313" i="47" s="1"/>
  <c r="Q2905" i="47"/>
  <c r="Q3098" i="47" s="1"/>
  <c r="S3321" i="47" s="1"/>
  <c r="Q2913" i="47"/>
  <c r="Q2902" i="47"/>
  <c r="Q3095" i="47" s="1"/>
  <c r="S3318" i="47" s="1"/>
  <c r="Q2910" i="47"/>
  <c r="Q2899" i="47"/>
  <c r="Q3093" i="47" s="1"/>
  <c r="S3315" i="47" s="1"/>
  <c r="Q2907" i="47"/>
  <c r="S3357" i="47" s="1"/>
  <c r="Q2896" i="47"/>
  <c r="Q3091" i="47" s="1"/>
  <c r="S3312" i="47" s="1"/>
  <c r="Q2904" i="47"/>
  <c r="Q3097" i="47" s="1"/>
  <c r="S3320" i="47" s="1"/>
  <c r="Q2912" i="47"/>
  <c r="Q2901" i="47"/>
  <c r="Q2909" i="47"/>
  <c r="S3359" i="47" s="1"/>
  <c r="G3563" i="47"/>
  <c r="G3609" i="47" s="1"/>
  <c r="B3882" i="47" s="1"/>
  <c r="D3553" i="47"/>
  <c r="C3548" i="47"/>
  <c r="B3441" i="47"/>
  <c r="B3997" i="47" s="1"/>
  <c r="B4048" i="47" s="1"/>
  <c r="B4094" i="47" s="1"/>
  <c r="B3428" i="47"/>
  <c r="B3426" i="47"/>
  <c r="G3651" i="47"/>
  <c r="C3876" i="47" s="1"/>
  <c r="F3639" i="47"/>
  <c r="C3837" i="47" s="1"/>
  <c r="E3649" i="47"/>
  <c r="C3820" i="47" s="1"/>
  <c r="F3650" i="47"/>
  <c r="C3848" i="47" s="1"/>
  <c r="G3645" i="47"/>
  <c r="C3870" i="47" s="1"/>
  <c r="G3638" i="47"/>
  <c r="C3863" i="47" s="1"/>
  <c r="D3641" i="47"/>
  <c r="C3785" i="47" s="1"/>
  <c r="F3641" i="47"/>
  <c r="C3839" i="47" s="1"/>
  <c r="G3650" i="47"/>
  <c r="C3875" i="47" s="1"/>
  <c r="F3652" i="47"/>
  <c r="C3850" i="47" s="1"/>
  <c r="C3637" i="47"/>
  <c r="C3754" i="47" s="1"/>
  <c r="F3645" i="47"/>
  <c r="C3843" i="47" s="1"/>
  <c r="G3652" i="47"/>
  <c r="C3877" i="47" s="1"/>
  <c r="D3635" i="47"/>
  <c r="C3779" i="47" s="1"/>
  <c r="O2967" i="47"/>
  <c r="Q3215" i="47"/>
  <c r="O2965" i="47"/>
  <c r="Q3213" i="47"/>
  <c r="Q3254" i="47"/>
  <c r="O2987" i="47"/>
  <c r="O2964" i="47"/>
  <c r="Q3212" i="47"/>
  <c r="S2901" i="47"/>
  <c r="S2909" i="47"/>
  <c r="U3359" i="47" s="1"/>
  <c r="S2898" i="47"/>
  <c r="S2906" i="47"/>
  <c r="S3099" i="47" s="1"/>
  <c r="U3322" i="47" s="1"/>
  <c r="S2914" i="47"/>
  <c r="S2903" i="47"/>
  <c r="S3096" i="47" s="1"/>
  <c r="U3319" i="47" s="1"/>
  <c r="S2911" i="47"/>
  <c r="S2900" i="47"/>
  <c r="S3094" i="47" s="1"/>
  <c r="U3316" i="47" s="1"/>
  <c r="S2908" i="47"/>
  <c r="U3358" i="47" s="1"/>
  <c r="S2897" i="47"/>
  <c r="S3092" i="47" s="1"/>
  <c r="U3313" i="47" s="1"/>
  <c r="S2905" i="47"/>
  <c r="S3098" i="47" s="1"/>
  <c r="U3321" i="47" s="1"/>
  <c r="S2913" i="47"/>
  <c r="S2902" i="47"/>
  <c r="S3095" i="47" s="1"/>
  <c r="U3318" i="47" s="1"/>
  <c r="S2910" i="47"/>
  <c r="S2899" i="47"/>
  <c r="S3093" i="47" s="1"/>
  <c r="U3315" i="47" s="1"/>
  <c r="S2907" i="47"/>
  <c r="U3357" i="47" s="1"/>
  <c r="S2896" i="47"/>
  <c r="S3091" i="47" s="1"/>
  <c r="U3312" i="47" s="1"/>
  <c r="S2904" i="47"/>
  <c r="S3097" i="47" s="1"/>
  <c r="U3320" i="47" s="1"/>
  <c r="S2912" i="47"/>
  <c r="U3215" i="47"/>
  <c r="S2967" i="47"/>
  <c r="L2896" i="47"/>
  <c r="L3091" i="47" s="1"/>
  <c r="N3312" i="47" s="1"/>
  <c r="L2904" i="47"/>
  <c r="L3097" i="47" s="1"/>
  <c r="N3320" i="47" s="1"/>
  <c r="L2912" i="47"/>
  <c r="L2901" i="47"/>
  <c r="L2908" i="47"/>
  <c r="N3358" i="47" s="1"/>
  <c r="L2898" i="47"/>
  <c r="L2906" i="47"/>
  <c r="L3099" i="47" s="1"/>
  <c r="N3322" i="47" s="1"/>
  <c r="L2914" i="47"/>
  <c r="L2903" i="47"/>
  <c r="L3096" i="47" s="1"/>
  <c r="N3319" i="47" s="1"/>
  <c r="E3428" i="47" s="1"/>
  <c r="L2911" i="47"/>
  <c r="L2900" i="47"/>
  <c r="L3094" i="47" s="1"/>
  <c r="N3316" i="47" s="1"/>
  <c r="E3545" i="47" s="1"/>
  <c r="L2913" i="47"/>
  <c r="L2905" i="47"/>
  <c r="L3098" i="47" s="1"/>
  <c r="N3321" i="47" s="1"/>
  <c r="L2902" i="47"/>
  <c r="L3095" i="47" s="1"/>
  <c r="N3318" i="47" s="1"/>
  <c r="E3427" i="47" s="1"/>
  <c r="L2910" i="47"/>
  <c r="L2899" i="47"/>
  <c r="L3093" i="47" s="1"/>
  <c r="N3315" i="47" s="1"/>
  <c r="L2907" i="47"/>
  <c r="N3357" i="47" s="1"/>
  <c r="L2909" i="47"/>
  <c r="N3359" i="47" s="1"/>
  <c r="L2897" i="47"/>
  <c r="L3092" i="47" s="1"/>
  <c r="N3313" i="47" s="1"/>
  <c r="P2964" i="47"/>
  <c r="R3212" i="47"/>
  <c r="B3555" i="47" s="1"/>
  <c r="C3422" i="47"/>
  <c r="C3588" i="47" s="1"/>
  <c r="B3753" i="47" s="1"/>
  <c r="G3566" i="47"/>
  <c r="G3612" i="47" s="1"/>
  <c r="B3885" i="47" s="1"/>
  <c r="B3423" i="47"/>
  <c r="B3589" i="47" s="1"/>
  <c r="B3727" i="47" s="1"/>
  <c r="B3421" i="47"/>
  <c r="E3443" i="47"/>
  <c r="E3563" i="47"/>
  <c r="E3447" i="47"/>
  <c r="E3567" i="47"/>
  <c r="G3442" i="47"/>
  <c r="G3998" i="47" s="1"/>
  <c r="G4049" i="47" s="1"/>
  <c r="G4095" i="47" s="1"/>
  <c r="C3552" i="47"/>
  <c r="G3444" i="47"/>
  <c r="G4000" i="47" s="1"/>
  <c r="G4051" i="47" s="1"/>
  <c r="G4097" i="47" s="1"/>
  <c r="D3445" i="47"/>
  <c r="D4001" i="47" s="1"/>
  <c r="C3550" i="47"/>
  <c r="B3422" i="47"/>
  <c r="R3001" i="47"/>
  <c r="T3292" i="47"/>
  <c r="R2968" i="47"/>
  <c r="T3216" i="47"/>
  <c r="E3552" i="47"/>
  <c r="E3432" i="47"/>
  <c r="S3292" i="47"/>
  <c r="Q3001" i="47"/>
  <c r="E3548" i="47"/>
  <c r="E3547" i="47"/>
  <c r="G3653" i="47"/>
  <c r="C3878" i="47" s="1"/>
  <c r="C3649" i="47"/>
  <c r="C3766" i="47" s="1"/>
  <c r="F3635" i="47"/>
  <c r="C3833" i="47" s="1"/>
  <c r="C3640" i="47"/>
  <c r="C3757" i="47" s="1"/>
  <c r="F3642" i="47"/>
  <c r="C3840" i="47" s="1"/>
  <c r="G3639" i="47"/>
  <c r="C3864" i="47" s="1"/>
  <c r="D3650" i="47"/>
  <c r="C3794" i="47" s="1"/>
  <c r="D3637" i="47"/>
  <c r="C3781" i="47" s="1"/>
  <c r="F3637" i="47"/>
  <c r="C3835" i="47" s="1"/>
  <c r="G3642" i="47"/>
  <c r="C3867" i="47" s="1"/>
  <c r="F3644" i="47"/>
  <c r="C3842" i="47" s="1"/>
  <c r="G3643" i="47"/>
  <c r="C3868" i="47" s="1"/>
  <c r="D3640" i="47"/>
  <c r="C3784" i="47" s="1"/>
  <c r="C3650" i="47"/>
  <c r="C3767" i="47" s="1"/>
  <c r="D3651" i="47"/>
  <c r="C3795" i="47" s="1"/>
  <c r="O2968" i="47"/>
  <c r="Q3216" i="47"/>
  <c r="O2966" i="47"/>
  <c r="Q3214" i="47"/>
  <c r="Q3292" i="47"/>
  <c r="O3001" i="47"/>
  <c r="S2966" i="47"/>
  <c r="U3214" i="47"/>
  <c r="N3214" i="47"/>
  <c r="L2966" i="47"/>
  <c r="N3216" i="47"/>
  <c r="L2968" i="47"/>
  <c r="P2967" i="47"/>
  <c r="R3215" i="47"/>
  <c r="P2966" i="47"/>
  <c r="R3214" i="47"/>
  <c r="P2965" i="47"/>
  <c r="R3213" i="47"/>
  <c r="B3436" i="47" s="1"/>
  <c r="E3440" i="47"/>
  <c r="E3560" i="47"/>
  <c r="D159" i="35"/>
  <c r="E159" i="35"/>
  <c r="F159" i="35"/>
  <c r="C159" i="35"/>
  <c r="B159" i="35"/>
  <c r="G159" i="35"/>
  <c r="E159" i="36"/>
  <c r="D159" i="36"/>
  <c r="F159" i="36"/>
  <c r="B159" i="36"/>
  <c r="G159" i="36"/>
  <c r="C159" i="36"/>
  <c r="B159" i="37"/>
  <c r="F159" i="37"/>
  <c r="C159" i="37"/>
  <c r="D159" i="37"/>
  <c r="E159" i="37"/>
  <c r="B159" i="38"/>
  <c r="F159" i="38"/>
  <c r="G159" i="37"/>
  <c r="C159" i="38"/>
  <c r="G159" i="38"/>
  <c r="E159" i="34"/>
  <c r="D159" i="38"/>
  <c r="E159" i="38"/>
  <c r="D159" i="34"/>
  <c r="C159" i="34"/>
  <c r="F159" i="34"/>
  <c r="G159" i="34"/>
  <c r="B159" i="34"/>
  <c r="B125" i="41"/>
  <c r="B3557" i="47" l="1"/>
  <c r="F3554" i="47"/>
  <c r="F3434" i="47"/>
  <c r="E3542" i="47"/>
  <c r="E3588" i="47" s="1"/>
  <c r="B3807" i="47" s="1"/>
  <c r="E3551" i="47"/>
  <c r="G3598" i="47"/>
  <c r="B3871" i="47" s="1"/>
  <c r="B3558" i="47"/>
  <c r="E3424" i="47"/>
  <c r="E3421" i="47"/>
  <c r="D3559" i="47"/>
  <c r="E3549" i="47"/>
  <c r="C4273" i="47"/>
  <c r="E41" i="45" s="1"/>
  <c r="E3541" i="47"/>
  <c r="G4270" i="47"/>
  <c r="B3435" i="47"/>
  <c r="B3559" i="47"/>
  <c r="B3653" i="47" s="1"/>
  <c r="C3743" i="47" s="1"/>
  <c r="C3439" i="47"/>
  <c r="F3552" i="47"/>
  <c r="F3598" i="47" s="1"/>
  <c r="B3844" i="47" s="1"/>
  <c r="E3430" i="47"/>
  <c r="B3478" i="47" s="1"/>
  <c r="F3433" i="47"/>
  <c r="D3753" i="47"/>
  <c r="E3595" i="47"/>
  <c r="B3814" i="47" s="1"/>
  <c r="E3643" i="47"/>
  <c r="C3814" i="47" s="1"/>
  <c r="D3872" i="47"/>
  <c r="D3729" i="47"/>
  <c r="B3652" i="47"/>
  <c r="C3742" i="47" s="1"/>
  <c r="D3727" i="47"/>
  <c r="B3483" i="47"/>
  <c r="B3484" i="47"/>
  <c r="B3651" i="47"/>
  <c r="C3741" i="47" s="1"/>
  <c r="D3653" i="47"/>
  <c r="C3797" i="47" s="1"/>
  <c r="B3472" i="47"/>
  <c r="E3639" i="47"/>
  <c r="C3810" i="47" s="1"/>
  <c r="E3591" i="47"/>
  <c r="B3810" i="47" s="1"/>
  <c r="E3597" i="47"/>
  <c r="B3816" i="47" s="1"/>
  <c r="E3645" i="47"/>
  <c r="C3816" i="47" s="1"/>
  <c r="D3758" i="47"/>
  <c r="D3871" i="47"/>
  <c r="B4268" i="47"/>
  <c r="B4267" i="47"/>
  <c r="E3606" i="47"/>
  <c r="B3825" i="47" s="1"/>
  <c r="E3654" i="47"/>
  <c r="C3825" i="47" s="1"/>
  <c r="E3635" i="47"/>
  <c r="C3806" i="47" s="1"/>
  <c r="E3587" i="47"/>
  <c r="B3806" i="47" s="1"/>
  <c r="E3642" i="47"/>
  <c r="C3813" i="47" s="1"/>
  <c r="E3594" i="47"/>
  <c r="B3813" i="47" s="1"/>
  <c r="E3598" i="47"/>
  <c r="B3817" i="47" s="1"/>
  <c r="E3646" i="47"/>
  <c r="C3817" i="47" s="1"/>
  <c r="C3596" i="47"/>
  <c r="B3761" i="47" s="1"/>
  <c r="C3644" i="47"/>
  <c r="C3761" i="47" s="1"/>
  <c r="G4264" i="47"/>
  <c r="G4265" i="47"/>
  <c r="E4003" i="47"/>
  <c r="B3495" i="47"/>
  <c r="B3438" i="47"/>
  <c r="B3556" i="47"/>
  <c r="E3422" i="47"/>
  <c r="B3474" i="47"/>
  <c r="D3599" i="47"/>
  <c r="B3791" i="47" s="1"/>
  <c r="D3647" i="47"/>
  <c r="C3791" i="47" s="1"/>
  <c r="B3482" i="47"/>
  <c r="E4000" i="47"/>
  <c r="E4051" i="47" s="1"/>
  <c r="B3492" i="47"/>
  <c r="E3544" i="47"/>
  <c r="E3425" i="47"/>
  <c r="D4054" i="47"/>
  <c r="D4100" i="47" s="1"/>
  <c r="D4261" i="47"/>
  <c r="D4260" i="47"/>
  <c r="D4262" i="47"/>
  <c r="B3600" i="47"/>
  <c r="B3738" i="47" s="1"/>
  <c r="B3648" i="47"/>
  <c r="C3738" i="47" s="1"/>
  <c r="D3749" i="47"/>
  <c r="E3599" i="47"/>
  <c r="B3818" i="47" s="1"/>
  <c r="E3647" i="47"/>
  <c r="C3818" i="47" s="1"/>
  <c r="F3553" i="47"/>
  <c r="E3612" i="47"/>
  <c r="B3831" i="47" s="1"/>
  <c r="E3660" i="47"/>
  <c r="C3831" i="47" s="1"/>
  <c r="D3609" i="47"/>
  <c r="B3801" i="47" s="1"/>
  <c r="B3609" i="47"/>
  <c r="B3747" i="47" s="1"/>
  <c r="D3611" i="47"/>
  <c r="B3803" i="47" s="1"/>
  <c r="B3613" i="47"/>
  <c r="B3751" i="47" s="1"/>
  <c r="M140" i="46"/>
  <c r="B3607" i="47"/>
  <c r="B3745" i="47" s="1"/>
  <c r="B3597" i="47"/>
  <c r="B3735" i="47" s="1"/>
  <c r="C3609" i="47"/>
  <c r="B3774" i="47" s="1"/>
  <c r="H138" i="46"/>
  <c r="I83" i="45"/>
  <c r="B3608" i="47"/>
  <c r="B3746" i="47" s="1"/>
  <c r="E138" i="46"/>
  <c r="L138" i="46"/>
  <c r="D83" i="45"/>
  <c r="E3641" i="47"/>
  <c r="C3812" i="47" s="1"/>
  <c r="E3593" i="47"/>
  <c r="B3812" i="47" s="1"/>
  <c r="B3439" i="47"/>
  <c r="E3609" i="47"/>
  <c r="B3828" i="47" s="1"/>
  <c r="E3657" i="47"/>
  <c r="C3828" i="47" s="1"/>
  <c r="B3601" i="47"/>
  <c r="B3739" i="47" s="1"/>
  <c r="B3649" i="47"/>
  <c r="C3739" i="47" s="1"/>
  <c r="D3882" i="47"/>
  <c r="E3607" i="47"/>
  <c r="B3826" i="47" s="1"/>
  <c r="E3655" i="47"/>
  <c r="C3826" i="47" s="1"/>
  <c r="E3611" i="47"/>
  <c r="B3830" i="47" s="1"/>
  <c r="E3659" i="47"/>
  <c r="C3830" i="47" s="1"/>
  <c r="B3595" i="47"/>
  <c r="B3733" i="47" s="1"/>
  <c r="B3643" i="47"/>
  <c r="C3733" i="47" s="1"/>
  <c r="B4050" i="47"/>
  <c r="B4096" i="47" s="1"/>
  <c r="B4249" i="47"/>
  <c r="B4251" i="47"/>
  <c r="B4250" i="47"/>
  <c r="D3597" i="47"/>
  <c r="B3789" i="47" s="1"/>
  <c r="D3645" i="47"/>
  <c r="C3789" i="47" s="1"/>
  <c r="D3778" i="47"/>
  <c r="B4264" i="47"/>
  <c r="B4265" i="47"/>
  <c r="B3590" i="47"/>
  <c r="B3728" i="47" s="1"/>
  <c r="B3638" i="47"/>
  <c r="C3728" i="47" s="1"/>
  <c r="B3481" i="47"/>
  <c r="B3593" i="47"/>
  <c r="B3731" i="47" s="1"/>
  <c r="B3641" i="47"/>
  <c r="C3731" i="47" s="1"/>
  <c r="G4268" i="47"/>
  <c r="G4267" i="47"/>
  <c r="B3494" i="47"/>
  <c r="E4002" i="47"/>
  <c r="C3597" i="47"/>
  <c r="B3762" i="47" s="1"/>
  <c r="G3610" i="47"/>
  <c r="B3883" i="47" s="1"/>
  <c r="B3592" i="47"/>
  <c r="B3730" i="47" s="1"/>
  <c r="B3610" i="47"/>
  <c r="B3748" i="47" s="1"/>
  <c r="B3599" i="47"/>
  <c r="B3737" i="47" s="1"/>
  <c r="M141" i="46"/>
  <c r="E84" i="45"/>
  <c r="H137" i="46"/>
  <c r="I40" i="45"/>
  <c r="E3996" i="47"/>
  <c r="E4047" i="47" s="1"/>
  <c r="B3488" i="47"/>
  <c r="F3648" i="47"/>
  <c r="C3846" i="47" s="1"/>
  <c r="F3600" i="47"/>
  <c r="B3846" i="47" s="1"/>
  <c r="C3598" i="47"/>
  <c r="B3763" i="47" s="1"/>
  <c r="C3646" i="47"/>
  <c r="C3763" i="47" s="1"/>
  <c r="B3475" i="47"/>
  <c r="D3439" i="47"/>
  <c r="G4257" i="47"/>
  <c r="G4256" i="47"/>
  <c r="G4258" i="47"/>
  <c r="E3999" i="47"/>
  <c r="B3491" i="47"/>
  <c r="B3471" i="47"/>
  <c r="B3437" i="47"/>
  <c r="E3429" i="47"/>
  <c r="B4253" i="47"/>
  <c r="B4254" i="47"/>
  <c r="E3997" i="47"/>
  <c r="B3489" i="47"/>
  <c r="E4001" i="47"/>
  <c r="B3493" i="47"/>
  <c r="C4262" i="47"/>
  <c r="C4261" i="47"/>
  <c r="C4260" i="47"/>
  <c r="E3550" i="47"/>
  <c r="E3431" i="47"/>
  <c r="C4052" i="47"/>
  <c r="C4098" i="47" s="1"/>
  <c r="C3595" i="47"/>
  <c r="B3760" i="47" s="1"/>
  <c r="C3643" i="47"/>
  <c r="C3760" i="47" s="1"/>
  <c r="D3598" i="47"/>
  <c r="B3790" i="47" s="1"/>
  <c r="D3646" i="47"/>
  <c r="C3790" i="47" s="1"/>
  <c r="C3559" i="47"/>
  <c r="E3608" i="47"/>
  <c r="B3827" i="47" s="1"/>
  <c r="E3656" i="47"/>
  <c r="C3827" i="47" s="1"/>
  <c r="F3432" i="47"/>
  <c r="D3600" i="47"/>
  <c r="B3792" i="47" s="1"/>
  <c r="D3648" i="47"/>
  <c r="C3792" i="47" s="1"/>
  <c r="B4054" i="47"/>
  <c r="B4100" i="47" s="1"/>
  <c r="C3600" i="47"/>
  <c r="B3765" i="47" s="1"/>
  <c r="G4273" i="47"/>
  <c r="G4274" i="47"/>
  <c r="G4261" i="47"/>
  <c r="G4260" i="47"/>
  <c r="G4262" i="47"/>
  <c r="D3613" i="47"/>
  <c r="B3805" i="47" s="1"/>
  <c r="C3611" i="47"/>
  <c r="B3776" i="47" s="1"/>
  <c r="G3611" i="47"/>
  <c r="B3884" i="47" s="1"/>
  <c r="G3608" i="47"/>
  <c r="B3881" i="47" s="1"/>
  <c r="B3469" i="47"/>
  <c r="B3476" i="47"/>
  <c r="B3480" i="47"/>
  <c r="D4052" i="47"/>
  <c r="D4098" i="47" s="1"/>
  <c r="E3613" i="47"/>
  <c r="B3832" i="47" s="1"/>
  <c r="E3661" i="47"/>
  <c r="C3832" i="47" s="1"/>
  <c r="D3885" i="47"/>
  <c r="C3594" i="47"/>
  <c r="B3759" i="47" s="1"/>
  <c r="C3642" i="47"/>
  <c r="C3759" i="47" s="1"/>
  <c r="E3600" i="47"/>
  <c r="B3819" i="47" s="1"/>
  <c r="E3648" i="47"/>
  <c r="C3819" i="47" s="1"/>
  <c r="D3886" i="47"/>
  <c r="E3610" i="47"/>
  <c r="B3829" i="47" s="1"/>
  <c r="E3658" i="47"/>
  <c r="C3829" i="47" s="1"/>
  <c r="B3598" i="47"/>
  <c r="B3736" i="47" s="1"/>
  <c r="B3646" i="47"/>
  <c r="C3736" i="47" s="1"/>
  <c r="B4256" i="47"/>
  <c r="B4258" i="47"/>
  <c r="B4257" i="47"/>
  <c r="E3998" i="47"/>
  <c r="E4049" i="47" s="1"/>
  <c r="B3490" i="47"/>
  <c r="D3750" i="47"/>
  <c r="D3596" i="47"/>
  <c r="B3788" i="47" s="1"/>
  <c r="B3596" i="47"/>
  <c r="B3734" i="47" s="1"/>
  <c r="B3606" i="47"/>
  <c r="B3744" i="47" s="1"/>
  <c r="G3600" i="47"/>
  <c r="B3873" i="47" s="1"/>
  <c r="B3594" i="47"/>
  <c r="B3732" i="47" s="1"/>
  <c r="C3591" i="47"/>
  <c r="B3756" i="47" s="1"/>
  <c r="B3588" i="47"/>
  <c r="B3726" i="47" s="1"/>
  <c r="B3587" i="47"/>
  <c r="B3725" i="47" s="1"/>
  <c r="C3599" i="47"/>
  <c r="B3764" i="47" s="1"/>
  <c r="E137" i="46"/>
  <c r="D40" i="45"/>
  <c r="L137" i="46"/>
  <c r="B160" i="35"/>
  <c r="F160" i="35"/>
  <c r="C160" i="35"/>
  <c r="G160" i="35"/>
  <c r="D160" i="35"/>
  <c r="C160" i="36"/>
  <c r="G160" i="36"/>
  <c r="E160" i="35"/>
  <c r="D160" i="36"/>
  <c r="E160" i="36"/>
  <c r="F160" i="36"/>
  <c r="B160" i="36"/>
  <c r="D160" i="37"/>
  <c r="B160" i="37"/>
  <c r="G160" i="37"/>
  <c r="C160" i="37"/>
  <c r="E160" i="37"/>
  <c r="D160" i="38"/>
  <c r="F160" i="37"/>
  <c r="E160" i="38"/>
  <c r="B160" i="38"/>
  <c r="C160" i="34"/>
  <c r="G160" i="34"/>
  <c r="C160" i="38"/>
  <c r="F160" i="38"/>
  <c r="G160" i="38"/>
  <c r="B160" i="34"/>
  <c r="F160" i="34"/>
  <c r="E160" i="34"/>
  <c r="B126" i="41"/>
  <c r="D160" i="34"/>
  <c r="E3636" i="47" l="1"/>
  <c r="C3807" i="47" s="1"/>
  <c r="F3646" i="47"/>
  <c r="C3844" i="47" s="1"/>
  <c r="D4268" i="47"/>
  <c r="D4267" i="47"/>
  <c r="D4273" i="47"/>
  <c r="D4274" i="47"/>
  <c r="B4274" i="47"/>
  <c r="B4273" i="47"/>
  <c r="B4260" i="47"/>
  <c r="B4262" i="47"/>
  <c r="B4261" i="47"/>
  <c r="D3726" i="47"/>
  <c r="D79" i="45"/>
  <c r="L125" i="46"/>
  <c r="E125" i="46"/>
  <c r="K137" i="46"/>
  <c r="P137" i="46"/>
  <c r="O137" i="46"/>
  <c r="Q137" i="46"/>
  <c r="D3873" i="47"/>
  <c r="E123" i="46"/>
  <c r="D36" i="45"/>
  <c r="L123" i="46"/>
  <c r="D3819" i="47"/>
  <c r="D3759" i="47"/>
  <c r="D3832" i="47"/>
  <c r="D3884" i="47"/>
  <c r="H127" i="46"/>
  <c r="I37" i="45"/>
  <c r="D3765" i="47"/>
  <c r="D3792" i="47"/>
  <c r="C3605" i="47"/>
  <c r="B3770" i="47" s="1"/>
  <c r="C3653" i="47"/>
  <c r="C3770" i="47" s="1"/>
  <c r="D3760" i="47"/>
  <c r="B3479" i="47"/>
  <c r="M129" i="46"/>
  <c r="E80" i="45"/>
  <c r="E4048" i="47"/>
  <c r="B4140" i="47" s="1"/>
  <c r="B3485" i="47"/>
  <c r="E4050" i="47"/>
  <c r="E4096" i="47" s="1"/>
  <c r="D3846" i="47"/>
  <c r="D3737" i="47"/>
  <c r="D3762" i="47"/>
  <c r="I39" i="45"/>
  <c r="H134" i="46"/>
  <c r="D3731" i="47"/>
  <c r="D38" i="45"/>
  <c r="E131" i="46"/>
  <c r="L131" i="46"/>
  <c r="E116" i="46"/>
  <c r="D34" i="45"/>
  <c r="L116" i="46"/>
  <c r="D3830" i="47"/>
  <c r="D3812" i="47"/>
  <c r="D3746" i="47"/>
  <c r="D3735" i="47"/>
  <c r="D3747" i="47"/>
  <c r="D3831" i="47"/>
  <c r="N127" i="46"/>
  <c r="F37" i="45"/>
  <c r="B3486" i="47"/>
  <c r="I38" i="45"/>
  <c r="H131" i="46"/>
  <c r="D3816" i="47"/>
  <c r="D3605" i="47"/>
  <c r="B3797" i="47" s="1"/>
  <c r="D3788" i="47"/>
  <c r="D3736" i="47"/>
  <c r="D3764" i="47"/>
  <c r="D3756" i="47"/>
  <c r="D3744" i="47"/>
  <c r="D3776" i="47"/>
  <c r="H128" i="46"/>
  <c r="I59" i="45"/>
  <c r="D3790" i="47"/>
  <c r="C4267" i="47"/>
  <c r="E134" i="46" s="1"/>
  <c r="C4268" i="47"/>
  <c r="E3596" i="47"/>
  <c r="B3815" i="47" s="1"/>
  <c r="E3644" i="47"/>
  <c r="C3815" i="47" s="1"/>
  <c r="E121" i="46"/>
  <c r="L121" i="46"/>
  <c r="D78" i="45"/>
  <c r="H125" i="46"/>
  <c r="I79" i="45"/>
  <c r="D3748" i="47"/>
  <c r="H135" i="46"/>
  <c r="I82" i="45"/>
  <c r="D3789" i="47"/>
  <c r="D3733" i="47"/>
  <c r="D3828" i="47"/>
  <c r="D3745" i="47"/>
  <c r="N128" i="46"/>
  <c r="F59" i="45"/>
  <c r="E4097" i="47"/>
  <c r="B4143" i="47"/>
  <c r="B3470" i="47"/>
  <c r="D39" i="45"/>
  <c r="L134" i="46"/>
  <c r="D3814" i="47"/>
  <c r="D3829" i="47"/>
  <c r="D3725" i="47"/>
  <c r="D3732" i="47"/>
  <c r="D3734" i="47"/>
  <c r="D58" i="45"/>
  <c r="E124" i="46"/>
  <c r="L124" i="46"/>
  <c r="D3805" i="47"/>
  <c r="I84" i="45"/>
  <c r="H141" i="46"/>
  <c r="E37" i="45"/>
  <c r="M127" i="46"/>
  <c r="E4052" i="47"/>
  <c r="B4144" i="47" s="1"/>
  <c r="E120" i="46"/>
  <c r="D35" i="45"/>
  <c r="L120" i="46"/>
  <c r="H123" i="46"/>
  <c r="I36" i="45"/>
  <c r="E4093" i="47"/>
  <c r="B4139" i="47"/>
  <c r="D3730" i="47"/>
  <c r="E4053" i="47"/>
  <c r="B4145" i="47" s="1"/>
  <c r="D3728" i="47"/>
  <c r="E117" i="46"/>
  <c r="L117" i="46"/>
  <c r="D57" i="45"/>
  <c r="B4142" i="47"/>
  <c r="D3826" i="47"/>
  <c r="B3487" i="47"/>
  <c r="D3751" i="47"/>
  <c r="D3803" i="47"/>
  <c r="D3801" i="47"/>
  <c r="F3647" i="47"/>
  <c r="C3845" i="47" s="1"/>
  <c r="F3599" i="47"/>
  <c r="B3845" i="47" s="1"/>
  <c r="D3818" i="47"/>
  <c r="D3738" i="47"/>
  <c r="B3473" i="47"/>
  <c r="D3791" i="47"/>
  <c r="E4054" i="47"/>
  <c r="B4146" i="47" s="1"/>
  <c r="D3817" i="47"/>
  <c r="D3806" i="47"/>
  <c r="E135" i="46"/>
  <c r="L135" i="46"/>
  <c r="D82" i="45"/>
  <c r="D3810" i="47"/>
  <c r="D3807" i="47"/>
  <c r="D3844" i="47"/>
  <c r="B3604" i="47"/>
  <c r="B3742" i="47" s="1"/>
  <c r="E4095" i="47"/>
  <c r="B4141" i="47"/>
  <c r="D3881" i="47"/>
  <c r="I80" i="45"/>
  <c r="H129" i="46"/>
  <c r="I41" i="45"/>
  <c r="H140" i="46"/>
  <c r="D3827" i="47"/>
  <c r="M128" i="46"/>
  <c r="E59" i="45"/>
  <c r="B3477" i="47"/>
  <c r="I58" i="45"/>
  <c r="H124" i="46"/>
  <c r="D3763" i="47"/>
  <c r="D3883" i="47"/>
  <c r="L132" i="46"/>
  <c r="D81" i="45"/>
  <c r="E132" i="46"/>
  <c r="L118" i="46"/>
  <c r="E118" i="46"/>
  <c r="D77" i="45"/>
  <c r="D3739" i="47"/>
  <c r="P138" i="46"/>
  <c r="O138" i="46"/>
  <c r="Q138" i="46"/>
  <c r="D3774" i="47"/>
  <c r="N129" i="46"/>
  <c r="F80" i="45"/>
  <c r="E3590" i="47"/>
  <c r="B3809" i="47" s="1"/>
  <c r="E3638" i="47"/>
  <c r="C3809" i="47" s="1"/>
  <c r="B3602" i="47"/>
  <c r="B3740" i="47" s="1"/>
  <c r="B3650" i="47"/>
  <c r="C3740" i="47" s="1"/>
  <c r="H132" i="46"/>
  <c r="I81" i="45"/>
  <c r="D3761" i="47"/>
  <c r="D3813" i="47"/>
  <c r="D3825" i="47"/>
  <c r="B3603" i="47"/>
  <c r="B3741" i="47" s="1"/>
  <c r="B3605" i="47"/>
  <c r="B3743" i="47" s="1"/>
  <c r="D161" i="35"/>
  <c r="E161" i="35"/>
  <c r="B161" i="35"/>
  <c r="G161" i="35"/>
  <c r="C161" i="35"/>
  <c r="F161" i="35"/>
  <c r="E161" i="36"/>
  <c r="C161" i="36"/>
  <c r="D161" i="36"/>
  <c r="F161" i="36"/>
  <c r="B161" i="36"/>
  <c r="G161" i="36"/>
  <c r="B161" i="37"/>
  <c r="F161" i="37"/>
  <c r="G161" i="37"/>
  <c r="C161" i="37"/>
  <c r="D161" i="37"/>
  <c r="B161" i="38"/>
  <c r="F161" i="38"/>
  <c r="E161" i="37"/>
  <c r="C161" i="38"/>
  <c r="G161" i="38"/>
  <c r="D161" i="38"/>
  <c r="E161" i="34"/>
  <c r="E161" i="38"/>
  <c r="D161" i="34"/>
  <c r="G161" i="34"/>
  <c r="B161" i="34"/>
  <c r="B127" i="41"/>
  <c r="C161" i="34"/>
  <c r="F161" i="34"/>
  <c r="F3727" i="47" l="1"/>
  <c r="H3727" i="47" s="1"/>
  <c r="B3506" i="47"/>
  <c r="E4094" i="47"/>
  <c r="E4098" i="47"/>
  <c r="E4100" i="47"/>
  <c r="D3740" i="47"/>
  <c r="F3740" i="47"/>
  <c r="H3740" i="47" s="1"/>
  <c r="F3741" i="47"/>
  <c r="H3741" i="47" s="1"/>
  <c r="D3741" i="47"/>
  <c r="F3813" i="47"/>
  <c r="H3813" i="47" s="1"/>
  <c r="F3743" i="47"/>
  <c r="H3743" i="47" s="1"/>
  <c r="D3743" i="47"/>
  <c r="F3825" i="47"/>
  <c r="H3825" i="47" s="1"/>
  <c r="F3809" i="47"/>
  <c r="H3809" i="47" s="1"/>
  <c r="D3809" i="47"/>
  <c r="F3882" i="47"/>
  <c r="H3882" i="47" s="1"/>
  <c r="F3872" i="47"/>
  <c r="H3872" i="47" s="1"/>
  <c r="F3810" i="47"/>
  <c r="H3810" i="47" s="1"/>
  <c r="O135" i="46"/>
  <c r="Q135" i="46"/>
  <c r="P135" i="46"/>
  <c r="F3818" i="47"/>
  <c r="H3818" i="47" s="1"/>
  <c r="F3751" i="47"/>
  <c r="H3751" i="47" s="1"/>
  <c r="F3728" i="47"/>
  <c r="H3728" i="47" s="1"/>
  <c r="F3730" i="47"/>
  <c r="H3730" i="47" s="1"/>
  <c r="P120" i="46"/>
  <c r="Q120" i="46"/>
  <c r="O120" i="46"/>
  <c r="F3842" i="47"/>
  <c r="H3842" i="47" s="1"/>
  <c r="F3855" i="47"/>
  <c r="H3855" i="47" s="1"/>
  <c r="F3839" i="47"/>
  <c r="H3839" i="47" s="1"/>
  <c r="F3852" i="47"/>
  <c r="H3852" i="47" s="1"/>
  <c r="F3780" i="47"/>
  <c r="H3780" i="47" s="1"/>
  <c r="F3840" i="47"/>
  <c r="H3840" i="47" s="1"/>
  <c r="F3853" i="47"/>
  <c r="H3853" i="47" s="1"/>
  <c r="F3837" i="47"/>
  <c r="H3837" i="47" s="1"/>
  <c r="F3850" i="47"/>
  <c r="H3850" i="47" s="1"/>
  <c r="F3779" i="47"/>
  <c r="H3779" i="47" s="1"/>
  <c r="F3879" i="47"/>
  <c r="H3879" i="47" s="1"/>
  <c r="F3859" i="47"/>
  <c r="H3859" i="47" s="1"/>
  <c r="F3843" i="47"/>
  <c r="H3843" i="47" s="1"/>
  <c r="F3856" i="47"/>
  <c r="H3856" i="47" s="1"/>
  <c r="F3782" i="47"/>
  <c r="H3782" i="47" s="1"/>
  <c r="F3752" i="47"/>
  <c r="H3752" i="47" s="1"/>
  <c r="F3865" i="47"/>
  <c r="H3865" i="47" s="1"/>
  <c r="F3793" i="47"/>
  <c r="H3793" i="47" s="1"/>
  <c r="F3862" i="47"/>
  <c r="H3862" i="47" s="1"/>
  <c r="F3785" i="47"/>
  <c r="H3785" i="47" s="1"/>
  <c r="F3757" i="47"/>
  <c r="H3757" i="47" s="1"/>
  <c r="F3814" i="47"/>
  <c r="H3814" i="47" s="1"/>
  <c r="P134" i="46"/>
  <c r="Q134" i="46"/>
  <c r="O134" i="46"/>
  <c r="F3733" i="47"/>
  <c r="H3733" i="47" s="1"/>
  <c r="F3748" i="47"/>
  <c r="H3748" i="47" s="1"/>
  <c r="D3815" i="47"/>
  <c r="F3815" i="47"/>
  <c r="H3815" i="47" s="1"/>
  <c r="F3885" i="47"/>
  <c r="H3885" i="47" s="1"/>
  <c r="F3736" i="47"/>
  <c r="H3736" i="47" s="1"/>
  <c r="F3749" i="47"/>
  <c r="H3749" i="47" s="1"/>
  <c r="F3747" i="47"/>
  <c r="H3747" i="47" s="1"/>
  <c r="K131" i="46"/>
  <c r="Q131" i="46"/>
  <c r="P131" i="46"/>
  <c r="O131" i="46"/>
  <c r="F3760" i="47"/>
  <c r="H3760" i="47" s="1"/>
  <c r="D3770" i="47"/>
  <c r="F3770" i="47"/>
  <c r="H3770" i="47" s="1"/>
  <c r="F3765" i="47"/>
  <c r="H3765" i="47" s="1"/>
  <c r="F3884" i="47"/>
  <c r="H3884" i="47" s="1"/>
  <c r="F3759" i="47"/>
  <c r="H3759" i="47" s="1"/>
  <c r="D37" i="45"/>
  <c r="E127" i="46"/>
  <c r="L127" i="46"/>
  <c r="N141" i="46"/>
  <c r="F84" i="45"/>
  <c r="F3753" i="47"/>
  <c r="H3753" i="47" s="1"/>
  <c r="F3761" i="47"/>
  <c r="H3761" i="47" s="1"/>
  <c r="F3774" i="47"/>
  <c r="H3774" i="47" s="1"/>
  <c r="F3763" i="47"/>
  <c r="H3763" i="47" s="1"/>
  <c r="F3881" i="47"/>
  <c r="H3881" i="47" s="1"/>
  <c r="F3742" i="47"/>
  <c r="H3742" i="47" s="1"/>
  <c r="D3742" i="47"/>
  <c r="F3758" i="47"/>
  <c r="H3758" i="47" s="1"/>
  <c r="F3817" i="47"/>
  <c r="H3817" i="47" s="1"/>
  <c r="F3845" i="47"/>
  <c r="H3845" i="47" s="1"/>
  <c r="D3845" i="47"/>
  <c r="F3801" i="47"/>
  <c r="H3801" i="47" s="1"/>
  <c r="E4099" i="47"/>
  <c r="E4268" i="47"/>
  <c r="E4267" i="47"/>
  <c r="F3805" i="47"/>
  <c r="H3805" i="47" s="1"/>
  <c r="F3734" i="47"/>
  <c r="H3734" i="47" s="1"/>
  <c r="F3834" i="47"/>
  <c r="H3834" i="47" s="1"/>
  <c r="F3847" i="47"/>
  <c r="H3847" i="47" s="1"/>
  <c r="F3804" i="47"/>
  <c r="H3804" i="47" s="1"/>
  <c r="F3822" i="47"/>
  <c r="H3822" i="47" s="1"/>
  <c r="F3773" i="47"/>
  <c r="H3773" i="47" s="1"/>
  <c r="F3800" i="47"/>
  <c r="H3800" i="47" s="1"/>
  <c r="F3823" i="47"/>
  <c r="H3823" i="47" s="1"/>
  <c r="F3799" i="47"/>
  <c r="H3799" i="47" s="1"/>
  <c r="F3820" i="47"/>
  <c r="H3820" i="47" s="1"/>
  <c r="F3772" i="47"/>
  <c r="H3772" i="47" s="1"/>
  <c r="F3838" i="47"/>
  <c r="H3838" i="47" s="1"/>
  <c r="F3851" i="47"/>
  <c r="H3851" i="47" s="1"/>
  <c r="F3835" i="47"/>
  <c r="H3835" i="47" s="1"/>
  <c r="F3848" i="47"/>
  <c r="H3848" i="47" s="1"/>
  <c r="F3777" i="47"/>
  <c r="H3777" i="47" s="1"/>
  <c r="F3875" i="47"/>
  <c r="H3875" i="47" s="1"/>
  <c r="F3857" i="47"/>
  <c r="H3857" i="47" s="1"/>
  <c r="F3841" i="47"/>
  <c r="H3841" i="47" s="1"/>
  <c r="F3854" i="47"/>
  <c r="H3854" i="47" s="1"/>
  <c r="F3781" i="47"/>
  <c r="H3781" i="47" s="1"/>
  <c r="F3725" i="47"/>
  <c r="H3725" i="47" s="1"/>
  <c r="F3828" i="47"/>
  <c r="H3828" i="47" s="1"/>
  <c r="F3790" i="47"/>
  <c r="H3790" i="47" s="1"/>
  <c r="F3750" i="47"/>
  <c r="H3750" i="47" s="1"/>
  <c r="F3756" i="47"/>
  <c r="H3756" i="47" s="1"/>
  <c r="F3729" i="47"/>
  <c r="H3729" i="47" s="1"/>
  <c r="F3816" i="47"/>
  <c r="H3816" i="47" s="1"/>
  <c r="F3746" i="47"/>
  <c r="H3746" i="47" s="1"/>
  <c r="F3737" i="47"/>
  <c r="H3737" i="47" s="1"/>
  <c r="E4261" i="47"/>
  <c r="E4260" i="47"/>
  <c r="E4262" i="47"/>
  <c r="E4254" i="47"/>
  <c r="E4253" i="47"/>
  <c r="F3792" i="47"/>
  <c r="H3792" i="47" s="1"/>
  <c r="K123" i="46"/>
  <c r="Q123" i="46"/>
  <c r="O123" i="46"/>
  <c r="P123" i="46"/>
  <c r="P125" i="46"/>
  <c r="O125" i="46"/>
  <c r="Q125" i="46"/>
  <c r="F3726" i="47"/>
  <c r="H3726" i="47" s="1"/>
  <c r="F3778" i="47"/>
  <c r="H3778" i="47" s="1"/>
  <c r="F41" i="45"/>
  <c r="N140" i="46"/>
  <c r="F3739" i="47"/>
  <c r="H3739" i="47" s="1"/>
  <c r="O132" i="46"/>
  <c r="P132" i="46"/>
  <c r="Q132" i="46"/>
  <c r="F3827" i="47"/>
  <c r="H3827" i="47" s="1"/>
  <c r="C3506" i="47"/>
  <c r="B3675" i="47" s="1"/>
  <c r="B3689" i="47" s="1"/>
  <c r="B4162" i="47"/>
  <c r="E4257" i="47"/>
  <c r="E4256" i="47"/>
  <c r="E4258" i="47"/>
  <c r="F3807" i="47"/>
  <c r="H3807" i="47" s="1"/>
  <c r="F3791" i="47"/>
  <c r="H3791" i="47" s="1"/>
  <c r="F3738" i="47"/>
  <c r="H3738" i="47" s="1"/>
  <c r="E3845" i="47"/>
  <c r="F3826" i="47"/>
  <c r="H3826" i="47" s="1"/>
  <c r="O117" i="46"/>
  <c r="P117" i="46"/>
  <c r="Q117" i="46"/>
  <c r="E4249" i="47"/>
  <c r="E4251" i="47"/>
  <c r="E4250" i="47"/>
  <c r="F3886" i="47"/>
  <c r="H3886" i="47" s="1"/>
  <c r="Q124" i="46"/>
  <c r="P124" i="46"/>
  <c r="O124" i="46"/>
  <c r="F3876" i="47"/>
  <c r="H3876" i="47" s="1"/>
  <c r="F3808" i="47"/>
  <c r="H3808" i="47" s="1"/>
  <c r="F3868" i="47"/>
  <c r="H3868" i="47" s="1"/>
  <c r="F3768" i="47"/>
  <c r="H3768" i="47" s="1"/>
  <c r="F3869" i="47"/>
  <c r="H3869" i="47" s="1"/>
  <c r="F3802" i="47"/>
  <c r="H3802" i="47" s="1"/>
  <c r="F3866" i="47"/>
  <c r="H3866" i="47" s="1"/>
  <c r="F3787" i="47"/>
  <c r="H3787" i="47" s="1"/>
  <c r="F3767" i="47"/>
  <c r="H3767" i="47" s="1"/>
  <c r="F3798" i="47"/>
  <c r="H3798" i="47" s="1"/>
  <c r="F3821" i="47"/>
  <c r="H3821" i="47" s="1"/>
  <c r="F3878" i="47"/>
  <c r="H3878" i="47" s="1"/>
  <c r="F3796" i="47"/>
  <c r="H3796" i="47" s="1"/>
  <c r="F3771" i="47"/>
  <c r="H3771" i="47" s="1"/>
  <c r="F3836" i="47"/>
  <c r="H3836" i="47" s="1"/>
  <c r="F3849" i="47"/>
  <c r="H3849" i="47" s="1"/>
  <c r="F3833" i="47"/>
  <c r="H3833" i="47" s="1"/>
  <c r="F3824" i="47"/>
  <c r="H3824" i="47" s="1"/>
  <c r="F3775" i="47"/>
  <c r="H3775" i="47" s="1"/>
  <c r="E4264" i="47"/>
  <c r="E4265" i="47"/>
  <c r="P121" i="46"/>
  <c r="Q121" i="46"/>
  <c r="O121" i="46"/>
  <c r="M135" i="46"/>
  <c r="E82" i="45"/>
  <c r="F3871" i="47"/>
  <c r="H3871" i="47" s="1"/>
  <c r="F3830" i="47"/>
  <c r="H3830" i="47" s="1"/>
  <c r="K116" i="46"/>
  <c r="Q116" i="46"/>
  <c r="O116" i="46"/>
  <c r="P116" i="46"/>
  <c r="F3762" i="47"/>
  <c r="H3762" i="47" s="1"/>
  <c r="F3832" i="47"/>
  <c r="H3832" i="47" s="1"/>
  <c r="F3819" i="47"/>
  <c r="H3819" i="47" s="1"/>
  <c r="L128" i="46"/>
  <c r="E128" i="46"/>
  <c r="D59" i="45"/>
  <c r="E140" i="46"/>
  <c r="L140" i="46"/>
  <c r="D41" i="45"/>
  <c r="F39" i="45"/>
  <c r="N134" i="46"/>
  <c r="E3809" i="47"/>
  <c r="O118" i="46"/>
  <c r="Q118" i="46"/>
  <c r="P118" i="46"/>
  <c r="F3883" i="47"/>
  <c r="H3883" i="47" s="1"/>
  <c r="F3844" i="47"/>
  <c r="H3844" i="47" s="1"/>
  <c r="F3806" i="47"/>
  <c r="H3806" i="47" s="1"/>
  <c r="E4274" i="47"/>
  <c r="E4273" i="47"/>
  <c r="F3803" i="47"/>
  <c r="H3803" i="47" s="1"/>
  <c r="F3732" i="47"/>
  <c r="H3732" i="47" s="1"/>
  <c r="F3863" i="47"/>
  <c r="H3863" i="47" s="1"/>
  <c r="F3877" i="47"/>
  <c r="H3877" i="47" s="1"/>
  <c r="F3860" i="47"/>
  <c r="H3860" i="47" s="1"/>
  <c r="F3784" i="47"/>
  <c r="H3784" i="47" s="1"/>
  <c r="F3755" i="47"/>
  <c r="H3755" i="47" s="1"/>
  <c r="F3861" i="47"/>
  <c r="H3861" i="47" s="1"/>
  <c r="F3870" i="47"/>
  <c r="H3870" i="47" s="1"/>
  <c r="F3858" i="47"/>
  <c r="H3858" i="47" s="1"/>
  <c r="F3783" i="47"/>
  <c r="H3783" i="47" s="1"/>
  <c r="F3754" i="47"/>
  <c r="H3754" i="47" s="1"/>
  <c r="F3867" i="47"/>
  <c r="H3867" i="47" s="1"/>
  <c r="F3795" i="47"/>
  <c r="H3795" i="47" s="1"/>
  <c r="F3864" i="47"/>
  <c r="H3864" i="47" s="1"/>
  <c r="F3786" i="47"/>
  <c r="H3786" i="47" s="1"/>
  <c r="F3766" i="47"/>
  <c r="H3766" i="47" s="1"/>
  <c r="F3880" i="47"/>
  <c r="H3880" i="47" s="1"/>
  <c r="F3811" i="47"/>
  <c r="H3811" i="47" s="1"/>
  <c r="F3874" i="47"/>
  <c r="H3874" i="47" s="1"/>
  <c r="F3794" i="47"/>
  <c r="H3794" i="47" s="1"/>
  <c r="F3769" i="47"/>
  <c r="H3769" i="47" s="1"/>
  <c r="F3829" i="47"/>
  <c r="H3829" i="47" s="1"/>
  <c r="F3745" i="47"/>
  <c r="H3745" i="47" s="1"/>
  <c r="F3789" i="47"/>
  <c r="H3789" i="47" s="1"/>
  <c r="E3815" i="47"/>
  <c r="M134" i="46"/>
  <c r="E39" i="45"/>
  <c r="F3776" i="47"/>
  <c r="H3776" i="47" s="1"/>
  <c r="F3744" i="47"/>
  <c r="H3744" i="47" s="1"/>
  <c r="F3764" i="47"/>
  <c r="H3764" i="47" s="1"/>
  <c r="F3788" i="47"/>
  <c r="H3788" i="47" s="1"/>
  <c r="D3797" i="47"/>
  <c r="L3724" i="47" s="1"/>
  <c r="F3797" i="47"/>
  <c r="H3797" i="47" s="1"/>
  <c r="F3831" i="47"/>
  <c r="H3831" i="47" s="1"/>
  <c r="F3735" i="47"/>
  <c r="H3735" i="47" s="1"/>
  <c r="F3812" i="47"/>
  <c r="H3812" i="47" s="1"/>
  <c r="F3731" i="47"/>
  <c r="H3731" i="47" s="1"/>
  <c r="F3846" i="47"/>
  <c r="H3846" i="47" s="1"/>
  <c r="E3770" i="47"/>
  <c r="F3873" i="47"/>
  <c r="H3873" i="47" s="1"/>
  <c r="E129" i="46"/>
  <c r="D80" i="45"/>
  <c r="L129" i="46"/>
  <c r="E141" i="46"/>
  <c r="L141" i="46"/>
  <c r="D84" i="45"/>
  <c r="F82" i="45"/>
  <c r="N135" i="46"/>
  <c r="B162" i="35"/>
  <c r="F162" i="35"/>
  <c r="C162" i="35"/>
  <c r="G162" i="35"/>
  <c r="D162" i="35"/>
  <c r="E162" i="35"/>
  <c r="C162" i="36"/>
  <c r="G162" i="36"/>
  <c r="B162" i="36"/>
  <c r="D162" i="36"/>
  <c r="E162" i="36"/>
  <c r="F162" i="36"/>
  <c r="D162" i="37"/>
  <c r="F162" i="37"/>
  <c r="B162" i="37"/>
  <c r="G162" i="37"/>
  <c r="C162" i="37"/>
  <c r="D162" i="38"/>
  <c r="E162" i="37"/>
  <c r="E162" i="38"/>
  <c r="F162" i="38"/>
  <c r="C162" i="34"/>
  <c r="G162" i="34"/>
  <c r="G162" i="38"/>
  <c r="B162" i="38"/>
  <c r="C162" i="38"/>
  <c r="B162" i="34"/>
  <c r="F162" i="34"/>
  <c r="D162" i="34"/>
  <c r="E162" i="34"/>
  <c r="B128" i="41"/>
  <c r="I3735" i="47" l="1"/>
  <c r="I3788" i="47"/>
  <c r="I3874" i="47"/>
  <c r="I3831" i="47"/>
  <c r="I3829" i="47"/>
  <c r="I3864" i="47"/>
  <c r="P129" i="46"/>
  <c r="O129" i="46"/>
  <c r="Q129" i="46"/>
  <c r="I3731" i="47"/>
  <c r="I3797" i="47"/>
  <c r="I3744" i="47"/>
  <c r="I3769" i="47"/>
  <c r="I3880" i="47"/>
  <c r="I3795" i="47"/>
  <c r="I3858" i="47"/>
  <c r="I3784" i="47"/>
  <c r="I3732" i="47"/>
  <c r="I3806" i="47"/>
  <c r="I3832" i="47"/>
  <c r="I3824" i="47"/>
  <c r="I3771" i="47"/>
  <c r="I3798" i="47"/>
  <c r="I3802" i="47"/>
  <c r="I3868" i="47"/>
  <c r="D118" i="46"/>
  <c r="F118" i="46"/>
  <c r="G77" i="45"/>
  <c r="I3791" i="47"/>
  <c r="D124" i="46"/>
  <c r="F124" i="46"/>
  <c r="G58" i="45"/>
  <c r="G35" i="45"/>
  <c r="D120" i="46"/>
  <c r="F120" i="46"/>
  <c r="F128" i="46"/>
  <c r="G59" i="45"/>
  <c r="D128" i="46"/>
  <c r="I3729" i="47"/>
  <c r="I3828" i="47"/>
  <c r="I3841" i="47"/>
  <c r="I3848" i="47"/>
  <c r="I3772" i="47"/>
  <c r="I3800" i="47"/>
  <c r="I3847" i="47"/>
  <c r="F134" i="46"/>
  <c r="G39" i="45"/>
  <c r="D134" i="46"/>
  <c r="I3774" i="47"/>
  <c r="I3770" i="47"/>
  <c r="I3749" i="47"/>
  <c r="I3785" i="47"/>
  <c r="I3752" i="47"/>
  <c r="I3859" i="47"/>
  <c r="I3837" i="47"/>
  <c r="I3852" i="47"/>
  <c r="I3728" i="47"/>
  <c r="I3882" i="47"/>
  <c r="I3825" i="47"/>
  <c r="P141" i="46"/>
  <c r="O141" i="46"/>
  <c r="Q141" i="46"/>
  <c r="I3873" i="47"/>
  <c r="I3812" i="47"/>
  <c r="I3776" i="47"/>
  <c r="I3789" i="47"/>
  <c r="I3794" i="47"/>
  <c r="I3766" i="47"/>
  <c r="I3867" i="47"/>
  <c r="I3870" i="47"/>
  <c r="I3860" i="47"/>
  <c r="I3803" i="47"/>
  <c r="I3844" i="47"/>
  <c r="P128" i="46"/>
  <c r="Q128" i="46"/>
  <c r="O128" i="46"/>
  <c r="I3762" i="47"/>
  <c r="D132" i="46"/>
  <c r="G81" i="45"/>
  <c r="F132" i="46"/>
  <c r="I3833" i="47"/>
  <c r="I3796" i="47"/>
  <c r="I3767" i="47"/>
  <c r="I3869" i="47"/>
  <c r="I3808" i="47"/>
  <c r="F116" i="46"/>
  <c r="D116" i="46"/>
  <c r="G34" i="45"/>
  <c r="I3826" i="47"/>
  <c r="I3807" i="47"/>
  <c r="F121" i="46"/>
  <c r="D121" i="46"/>
  <c r="G78" i="45"/>
  <c r="I3737" i="47"/>
  <c r="I3756" i="47"/>
  <c r="I3725" i="47"/>
  <c r="I3857" i="47"/>
  <c r="I3835" i="47"/>
  <c r="I3820" i="47"/>
  <c r="I3773" i="47"/>
  <c r="I3834" i="47"/>
  <c r="G82" i="45"/>
  <c r="F135" i="46"/>
  <c r="D135" i="46"/>
  <c r="I3845" i="47"/>
  <c r="I3742" i="47"/>
  <c r="I3761" i="47"/>
  <c r="I3759" i="47"/>
  <c r="I3736" i="47"/>
  <c r="I3748" i="47"/>
  <c r="I3862" i="47"/>
  <c r="I3782" i="47"/>
  <c r="I3879" i="47"/>
  <c r="I3853" i="47"/>
  <c r="I3839" i="47"/>
  <c r="I3751" i="47"/>
  <c r="I3741" i="47"/>
  <c r="I3786" i="47"/>
  <c r="I3754" i="47"/>
  <c r="I3861" i="47"/>
  <c r="I3877" i="47"/>
  <c r="G41" i="45"/>
  <c r="F140" i="46"/>
  <c r="D140" i="46"/>
  <c r="I3883" i="47"/>
  <c r="I3830" i="47"/>
  <c r="G38" i="45"/>
  <c r="D131" i="46"/>
  <c r="F131" i="46"/>
  <c r="I3849" i="47"/>
  <c r="I3878" i="47"/>
  <c r="I3787" i="47"/>
  <c r="I3768" i="47"/>
  <c r="I3876" i="47"/>
  <c r="I3886" i="47"/>
  <c r="G79" i="45"/>
  <c r="D125" i="46"/>
  <c r="F125" i="46"/>
  <c r="E3821" i="47"/>
  <c r="E3745" i="47"/>
  <c r="E3777" i="47"/>
  <c r="E3774" i="47"/>
  <c r="E3798" i="47"/>
  <c r="E3885" i="47"/>
  <c r="E3882" i="47"/>
  <c r="E3801" i="47"/>
  <c r="E3799" i="47"/>
  <c r="E3884" i="47"/>
  <c r="E3776" i="47"/>
  <c r="E3746" i="47"/>
  <c r="E3747" i="47"/>
  <c r="E3771" i="47"/>
  <c r="E3744" i="47"/>
  <c r="E3883" i="47"/>
  <c r="E3748" i="47"/>
  <c r="E3778" i="47"/>
  <c r="E3749" i="47"/>
  <c r="E3773" i="47"/>
  <c r="E3880" i="47"/>
  <c r="E3886" i="47"/>
  <c r="E3804" i="47"/>
  <c r="E3772" i="47"/>
  <c r="E3881" i="47"/>
  <c r="E3805" i="47"/>
  <c r="E3879" i="47"/>
  <c r="B3724" i="47"/>
  <c r="K3724" i="47" s="1"/>
  <c r="E3751" i="47"/>
  <c r="E3775" i="47"/>
  <c r="E3803" i="47"/>
  <c r="E3802" i="47"/>
  <c r="E3750" i="47"/>
  <c r="E3800" i="47"/>
  <c r="E3852" i="47"/>
  <c r="E3856" i="47"/>
  <c r="E3857" i="47"/>
  <c r="E3859" i="47"/>
  <c r="E3855" i="47"/>
  <c r="E3854" i="47"/>
  <c r="E3858" i="47"/>
  <c r="E3853" i="47"/>
  <c r="E3820" i="47"/>
  <c r="E3866" i="47"/>
  <c r="E3780" i="47"/>
  <c r="E3872" i="47"/>
  <c r="E3730" i="47"/>
  <c r="E3757" i="47"/>
  <c r="E3850" i="47"/>
  <c r="E3768" i="47"/>
  <c r="E3874" i="47"/>
  <c r="E3811" i="47"/>
  <c r="E3729" i="47"/>
  <c r="E3864" i="47"/>
  <c r="E3863" i="47"/>
  <c r="E3834" i="47"/>
  <c r="E3788" i="47"/>
  <c r="E3726" i="47"/>
  <c r="E3767" i="47"/>
  <c r="E3840" i="47"/>
  <c r="E3779" i="47"/>
  <c r="E3876" i="47"/>
  <c r="E3838" i="47"/>
  <c r="E3873" i="47"/>
  <c r="E3839" i="47"/>
  <c r="E3824" i="47"/>
  <c r="E3841" i="47"/>
  <c r="E3822" i="47"/>
  <c r="E3848" i="47"/>
  <c r="E3865" i="47"/>
  <c r="E3871" i="47"/>
  <c r="E3725" i="47"/>
  <c r="E3868" i="47"/>
  <c r="E3833" i="47"/>
  <c r="E3754" i="47"/>
  <c r="E3782" i="47"/>
  <c r="E3836" i="47"/>
  <c r="E3786" i="47"/>
  <c r="E3735" i="47"/>
  <c r="E3781" i="47"/>
  <c r="E3785" i="47"/>
  <c r="E3851" i="47"/>
  <c r="E3762" i="47"/>
  <c r="E3758" i="47"/>
  <c r="E3737" i="47"/>
  <c r="E3862" i="47"/>
  <c r="E3752" i="47"/>
  <c r="E3765" i="47"/>
  <c r="E3837" i="47"/>
  <c r="E3783" i="47"/>
  <c r="E3755" i="47"/>
  <c r="E3734" i="47"/>
  <c r="E3732" i="47"/>
  <c r="E3764" i="47"/>
  <c r="E3867" i="47"/>
  <c r="E3878" i="47"/>
  <c r="E3875" i="47"/>
  <c r="E3769" i="47"/>
  <c r="E3849" i="47"/>
  <c r="E3793" i="47"/>
  <c r="E3784" i="47"/>
  <c r="E3870" i="47"/>
  <c r="E3808" i="47"/>
  <c r="E3753" i="47"/>
  <c r="E3842" i="47"/>
  <c r="E3843" i="47"/>
  <c r="E3869" i="47"/>
  <c r="E3861" i="47"/>
  <c r="E3835" i="47"/>
  <c r="E3766" i="47"/>
  <c r="E3796" i="47"/>
  <c r="E3756" i="47"/>
  <c r="E3795" i="47"/>
  <c r="E3794" i="47"/>
  <c r="E3847" i="47"/>
  <c r="E3860" i="47"/>
  <c r="E3787" i="47"/>
  <c r="E3823" i="47"/>
  <c r="E3727" i="47"/>
  <c r="E3877" i="47"/>
  <c r="E3733" i="47"/>
  <c r="E3813" i="47"/>
  <c r="E3826" i="47"/>
  <c r="E3807" i="47"/>
  <c r="E3829" i="47"/>
  <c r="E3763" i="47"/>
  <c r="E3743" i="47"/>
  <c r="E3832" i="47"/>
  <c r="E3792" i="47"/>
  <c r="E3742" i="47"/>
  <c r="E3844" i="47"/>
  <c r="E3761" i="47"/>
  <c r="E3816" i="47"/>
  <c r="E3790" i="47"/>
  <c r="E3818" i="47"/>
  <c r="E3791" i="47"/>
  <c r="E3846" i="47"/>
  <c r="E3738" i="47"/>
  <c r="E3827" i="47"/>
  <c r="E3825" i="47"/>
  <c r="E3731" i="47"/>
  <c r="E3789" i="47"/>
  <c r="E3830" i="47"/>
  <c r="E3806" i="47"/>
  <c r="E3810" i="47"/>
  <c r="E3759" i="47"/>
  <c r="E3828" i="47"/>
  <c r="E3817" i="47"/>
  <c r="E3814" i="47"/>
  <c r="E3728" i="47"/>
  <c r="E3812" i="47"/>
  <c r="E3736" i="47"/>
  <c r="E3739" i="47"/>
  <c r="E3741" i="47"/>
  <c r="E3819" i="47"/>
  <c r="E3760" i="47"/>
  <c r="E3831" i="47"/>
  <c r="E3797" i="47"/>
  <c r="I3778" i="47"/>
  <c r="F129" i="46"/>
  <c r="G80" i="45"/>
  <c r="D129" i="46"/>
  <c r="I3746" i="47"/>
  <c r="I3750" i="47"/>
  <c r="I3781" i="47"/>
  <c r="I3875" i="47"/>
  <c r="I3851" i="47"/>
  <c r="I3799" i="47"/>
  <c r="I3822" i="47"/>
  <c r="I3734" i="47"/>
  <c r="E4270" i="47"/>
  <c r="E4271" i="47"/>
  <c r="I3817" i="47"/>
  <c r="I3881" i="47"/>
  <c r="I3753" i="47"/>
  <c r="I3884" i="47"/>
  <c r="I3760" i="47"/>
  <c r="I3885" i="47"/>
  <c r="I3733" i="47"/>
  <c r="I3814" i="47"/>
  <c r="I3793" i="47"/>
  <c r="I3856" i="47"/>
  <c r="I3779" i="47"/>
  <c r="I3840" i="47"/>
  <c r="I3855" i="47"/>
  <c r="I3818" i="47"/>
  <c r="I3810" i="47"/>
  <c r="I3809" i="47"/>
  <c r="I3743" i="47"/>
  <c r="I3740" i="47"/>
  <c r="I3745" i="47"/>
  <c r="I3846" i="47"/>
  <c r="I3764" i="47"/>
  <c r="I3811" i="47"/>
  <c r="I3783" i="47"/>
  <c r="I3755" i="47"/>
  <c r="I3863" i="47"/>
  <c r="F141" i="46"/>
  <c r="G84" i="45"/>
  <c r="D141" i="46"/>
  <c r="K140" i="46"/>
  <c r="Q140" i="46"/>
  <c r="O140" i="46"/>
  <c r="P140" i="46"/>
  <c r="I3819" i="47"/>
  <c r="I3871" i="47"/>
  <c r="I3775" i="47"/>
  <c r="I3836" i="47"/>
  <c r="I3821" i="47"/>
  <c r="I3866" i="47"/>
  <c r="F117" i="46"/>
  <c r="D117" i="46"/>
  <c r="G57" i="45"/>
  <c r="I3738" i="47"/>
  <c r="F123" i="46"/>
  <c r="G36" i="45"/>
  <c r="D123" i="46"/>
  <c r="I3827" i="47"/>
  <c r="I3739" i="47"/>
  <c r="I3726" i="47"/>
  <c r="I3792" i="47"/>
  <c r="F127" i="46"/>
  <c r="G37" i="45"/>
  <c r="D127" i="46"/>
  <c r="I3816" i="47"/>
  <c r="I3790" i="47"/>
  <c r="I3854" i="47"/>
  <c r="I3777" i="47"/>
  <c r="I3838" i="47"/>
  <c r="I3823" i="47"/>
  <c r="I3804" i="47"/>
  <c r="I3805" i="47"/>
  <c r="I3801" i="47"/>
  <c r="I3758" i="47"/>
  <c r="I3763" i="47"/>
  <c r="I3727" i="47"/>
  <c r="K127" i="46"/>
  <c r="Q127" i="46"/>
  <c r="O127" i="46"/>
  <c r="P127" i="46"/>
  <c r="I3765" i="47"/>
  <c r="I3747" i="47"/>
  <c r="I3815" i="47"/>
  <c r="I3757" i="47"/>
  <c r="I3865" i="47"/>
  <c r="I3843" i="47"/>
  <c r="I3850" i="47"/>
  <c r="I3780" i="47"/>
  <c r="I3842" i="47"/>
  <c r="I3730" i="47"/>
  <c r="I3872" i="47"/>
  <c r="E3740" i="47"/>
  <c r="I3813" i="47"/>
  <c r="D163" i="35"/>
  <c r="E163" i="35"/>
  <c r="F163" i="35"/>
  <c r="G163" i="35"/>
  <c r="B163" i="35"/>
  <c r="C163" i="35"/>
  <c r="E163" i="36"/>
  <c r="B163" i="36"/>
  <c r="G163" i="36"/>
  <c r="C163" i="36"/>
  <c r="D163" i="36"/>
  <c r="F163" i="36"/>
  <c r="B163" i="37"/>
  <c r="F163" i="37"/>
  <c r="E163" i="37"/>
  <c r="G163" i="37"/>
  <c r="C163" i="37"/>
  <c r="B163" i="38"/>
  <c r="F163" i="38"/>
  <c r="D163" i="37"/>
  <c r="C163" i="38"/>
  <c r="G163" i="38"/>
  <c r="E163" i="34"/>
  <c r="D163" i="38"/>
  <c r="E163" i="38"/>
  <c r="D163" i="34"/>
  <c r="C163" i="34"/>
  <c r="F163" i="34"/>
  <c r="G163" i="34"/>
  <c r="B163" i="34"/>
  <c r="B129" i="41"/>
  <c r="J3876" i="47" l="1"/>
  <c r="K3876" i="47" s="1"/>
  <c r="I123" i="46"/>
  <c r="J123" i="46"/>
  <c r="S123" i="46"/>
  <c r="R123" i="46"/>
  <c r="T123" i="46"/>
  <c r="R134" i="46"/>
  <c r="T134" i="46"/>
  <c r="S134" i="46"/>
  <c r="J127" i="46"/>
  <c r="I127" i="46"/>
  <c r="T127" i="46"/>
  <c r="R127" i="46"/>
  <c r="S127" i="46"/>
  <c r="S117" i="46"/>
  <c r="T117" i="46"/>
  <c r="R117" i="46"/>
  <c r="R141" i="46"/>
  <c r="T141" i="46"/>
  <c r="S141" i="46"/>
  <c r="F138" i="46"/>
  <c r="G83" i="45"/>
  <c r="D138" i="46"/>
  <c r="M3724" i="47"/>
  <c r="J116" i="46"/>
  <c r="I116" i="46"/>
  <c r="S116" i="46"/>
  <c r="T116" i="46"/>
  <c r="R116" i="46"/>
  <c r="J3826" i="47"/>
  <c r="K3826" i="47" s="1"/>
  <c r="F137" i="46"/>
  <c r="D137" i="46"/>
  <c r="G40" i="45"/>
  <c r="T125" i="46"/>
  <c r="R125" i="46"/>
  <c r="S125" i="46"/>
  <c r="S132" i="46"/>
  <c r="T132" i="46"/>
  <c r="R132" i="46"/>
  <c r="S128" i="46"/>
  <c r="R128" i="46"/>
  <c r="T128" i="46"/>
  <c r="R120" i="46"/>
  <c r="S120" i="46"/>
  <c r="T120" i="46"/>
  <c r="R124" i="46"/>
  <c r="T124" i="46"/>
  <c r="S124" i="46"/>
  <c r="T118" i="46"/>
  <c r="R118" i="46"/>
  <c r="S118" i="46"/>
  <c r="R129" i="46"/>
  <c r="T129" i="46"/>
  <c r="S129" i="46"/>
  <c r="I131" i="46"/>
  <c r="J131" i="46"/>
  <c r="T131" i="46"/>
  <c r="R131" i="46"/>
  <c r="S131" i="46"/>
  <c r="J140" i="46"/>
  <c r="I140" i="46"/>
  <c r="T140" i="46"/>
  <c r="S140" i="46"/>
  <c r="R140" i="46"/>
  <c r="S135" i="46"/>
  <c r="R135" i="46"/>
  <c r="T135" i="46"/>
  <c r="J3775" i="47"/>
  <c r="K3775" i="47" s="1"/>
  <c r="J3839" i="47"/>
  <c r="K3839" i="47" s="1"/>
  <c r="J3768" i="47"/>
  <c r="K3768" i="47" s="1"/>
  <c r="J3832" i="47"/>
  <c r="K3832" i="47" s="1"/>
  <c r="J3733" i="47"/>
  <c r="K3733" i="47" s="1"/>
  <c r="J3797" i="47"/>
  <c r="K3797" i="47" s="1"/>
  <c r="J3770" i="47"/>
  <c r="K3770" i="47" s="1"/>
  <c r="J3834" i="47"/>
  <c r="K3834" i="47" s="1"/>
  <c r="J3747" i="47"/>
  <c r="K3747" i="47" s="1"/>
  <c r="J3811" i="47"/>
  <c r="K3811" i="47" s="1"/>
  <c r="J3875" i="47"/>
  <c r="K3875" i="47" s="1"/>
  <c r="J3772" i="47"/>
  <c r="K3772" i="47" s="1"/>
  <c r="J3836" i="47"/>
  <c r="K3836" i="47" s="1"/>
  <c r="J3785" i="47"/>
  <c r="K3785" i="47" s="1"/>
  <c r="J3758" i="47"/>
  <c r="K3758" i="47" s="1"/>
  <c r="J3822" i="47"/>
  <c r="K3822" i="47" s="1"/>
  <c r="J3783" i="47"/>
  <c r="K3783" i="47" s="1"/>
  <c r="J3847" i="47"/>
  <c r="K3847" i="47" s="1"/>
  <c r="J3776" i="47"/>
  <c r="K3776" i="47" s="1"/>
  <c r="J3840" i="47"/>
  <c r="K3840" i="47" s="1"/>
  <c r="J3741" i="47"/>
  <c r="K3741" i="47" s="1"/>
  <c r="J3805" i="47"/>
  <c r="K3805" i="47" s="1"/>
  <c r="J3746" i="47"/>
  <c r="K3746" i="47" s="1"/>
  <c r="J3810" i="47"/>
  <c r="K3810" i="47" s="1"/>
  <c r="J3755" i="47"/>
  <c r="K3755" i="47" s="1"/>
  <c r="J3819" i="47"/>
  <c r="K3819" i="47" s="1"/>
  <c r="J3883" i="47"/>
  <c r="K3883" i="47" s="1"/>
  <c r="J3764" i="47"/>
  <c r="K3764" i="47" s="1"/>
  <c r="J3828" i="47"/>
  <c r="K3828" i="47" s="1"/>
  <c r="J3837" i="47"/>
  <c r="K3837" i="47" s="1"/>
  <c r="J3853" i="47"/>
  <c r="K3853" i="47" s="1"/>
  <c r="J3869" i="47"/>
  <c r="K3869" i="47" s="1"/>
  <c r="J3885" i="47"/>
  <c r="K3885" i="47" s="1"/>
  <c r="J3850" i="47"/>
  <c r="K3850" i="47" s="1"/>
  <c r="J3866" i="47"/>
  <c r="K3866" i="47" s="1"/>
  <c r="J3882" i="47"/>
  <c r="K3882" i="47" s="1"/>
  <c r="J3729" i="47"/>
  <c r="K3729" i="47" s="1"/>
  <c r="J3793" i="47"/>
  <c r="K3793" i="47" s="1"/>
  <c r="J3766" i="47"/>
  <c r="K3766" i="47" s="1"/>
  <c r="J3830" i="47"/>
  <c r="K3830" i="47" s="1"/>
  <c r="J3791" i="47"/>
  <c r="K3791" i="47" s="1"/>
  <c r="J3855" i="47"/>
  <c r="K3855" i="47" s="1"/>
  <c r="J3784" i="47"/>
  <c r="K3784" i="47" s="1"/>
  <c r="J3848" i="47"/>
  <c r="K3848" i="47" s="1"/>
  <c r="J3749" i="47"/>
  <c r="K3749" i="47" s="1"/>
  <c r="J3813" i="47"/>
  <c r="K3813" i="47" s="1"/>
  <c r="J3786" i="47"/>
  <c r="K3786" i="47" s="1"/>
  <c r="J3763" i="47"/>
  <c r="K3763" i="47" s="1"/>
  <c r="J3827" i="47"/>
  <c r="K3827" i="47" s="1"/>
  <c r="J3788" i="47"/>
  <c r="K3788" i="47" s="1"/>
  <c r="J3852" i="47"/>
  <c r="K3852" i="47" s="1"/>
  <c r="J3737" i="47"/>
  <c r="K3737" i="47" s="1"/>
  <c r="J3801" i="47"/>
  <c r="K3801" i="47" s="1"/>
  <c r="J3774" i="47"/>
  <c r="K3774" i="47" s="1"/>
  <c r="J3735" i="47"/>
  <c r="K3735" i="47" s="1"/>
  <c r="J3799" i="47"/>
  <c r="K3799" i="47" s="1"/>
  <c r="J3863" i="47"/>
  <c r="K3863" i="47" s="1"/>
  <c r="J3792" i="47"/>
  <c r="K3792" i="47" s="1"/>
  <c r="J3856" i="47"/>
  <c r="K3856" i="47" s="1"/>
  <c r="J3757" i="47"/>
  <c r="K3757" i="47" s="1"/>
  <c r="J3821" i="47"/>
  <c r="K3821" i="47" s="1"/>
  <c r="J3762" i="47"/>
  <c r="K3762" i="47" s="1"/>
  <c r="J3771" i="47"/>
  <c r="K3771" i="47" s="1"/>
  <c r="J3835" i="47"/>
  <c r="K3835" i="47" s="1"/>
  <c r="J3780" i="47"/>
  <c r="K3780" i="47" s="1"/>
  <c r="J3844" i="47"/>
  <c r="K3844" i="47" s="1"/>
  <c r="J3841" i="47"/>
  <c r="K3841" i="47" s="1"/>
  <c r="J3857" i="47"/>
  <c r="K3857" i="47" s="1"/>
  <c r="J3873" i="47"/>
  <c r="K3873" i="47" s="1"/>
  <c r="J3838" i="47"/>
  <c r="K3838" i="47" s="1"/>
  <c r="J3854" i="47"/>
  <c r="K3854" i="47" s="1"/>
  <c r="J3870" i="47"/>
  <c r="K3870" i="47" s="1"/>
  <c r="J3886" i="47"/>
  <c r="K3886" i="47" s="1"/>
  <c r="J3745" i="47"/>
  <c r="K3745" i="47" s="1"/>
  <c r="J3809" i="47"/>
  <c r="K3809" i="47" s="1"/>
  <c r="J3782" i="47"/>
  <c r="K3782" i="47" s="1"/>
  <c r="J3743" i="47"/>
  <c r="K3743" i="47" s="1"/>
  <c r="J3807" i="47"/>
  <c r="K3807" i="47" s="1"/>
  <c r="J3871" i="47"/>
  <c r="K3871" i="47" s="1"/>
  <c r="J3736" i="47"/>
  <c r="K3736" i="47" s="1"/>
  <c r="J3800" i="47"/>
  <c r="K3800" i="47" s="1"/>
  <c r="J3864" i="47"/>
  <c r="K3864" i="47" s="1"/>
  <c r="J3765" i="47"/>
  <c r="K3765" i="47" s="1"/>
  <c r="J3738" i="47"/>
  <c r="K3738" i="47" s="1"/>
  <c r="J3802" i="47"/>
  <c r="K3802" i="47" s="1"/>
  <c r="J3779" i="47"/>
  <c r="K3779" i="47" s="1"/>
  <c r="J3843" i="47"/>
  <c r="K3843" i="47" s="1"/>
  <c r="J3740" i="47"/>
  <c r="K3740" i="47" s="1"/>
  <c r="J3804" i="47"/>
  <c r="K3804" i="47" s="1"/>
  <c r="J3868" i="47"/>
  <c r="K3868" i="47" s="1"/>
  <c r="J3753" i="47"/>
  <c r="K3753" i="47" s="1"/>
  <c r="J3817" i="47"/>
  <c r="K3817" i="47" s="1"/>
  <c r="J3726" i="47"/>
  <c r="K3726" i="47" s="1"/>
  <c r="J3790" i="47"/>
  <c r="K3790" i="47" s="1"/>
  <c r="J3751" i="47"/>
  <c r="K3751" i="47" s="1"/>
  <c r="J3815" i="47"/>
  <c r="K3815" i="47" s="1"/>
  <c r="J3879" i="47"/>
  <c r="K3879" i="47" s="1"/>
  <c r="J3744" i="47"/>
  <c r="K3744" i="47" s="1"/>
  <c r="J3808" i="47"/>
  <c r="K3808" i="47" s="1"/>
  <c r="J3872" i="47"/>
  <c r="K3872" i="47" s="1"/>
  <c r="J3773" i="47"/>
  <c r="K3773" i="47" s="1"/>
  <c r="J3778" i="47"/>
  <c r="K3778" i="47" s="1"/>
  <c r="J3787" i="47"/>
  <c r="K3787" i="47" s="1"/>
  <c r="J3851" i="47"/>
  <c r="K3851" i="47" s="1"/>
  <c r="J3732" i="47"/>
  <c r="K3732" i="47" s="1"/>
  <c r="J3796" i="47"/>
  <c r="K3796" i="47" s="1"/>
  <c r="J3860" i="47"/>
  <c r="K3860" i="47" s="1"/>
  <c r="J3829" i="47"/>
  <c r="K3829" i="47" s="1"/>
  <c r="J3845" i="47"/>
  <c r="K3845" i="47" s="1"/>
  <c r="J3861" i="47"/>
  <c r="K3861" i="47" s="1"/>
  <c r="J3877" i="47"/>
  <c r="K3877" i="47" s="1"/>
  <c r="J3842" i="47"/>
  <c r="K3842" i="47" s="1"/>
  <c r="J3858" i="47"/>
  <c r="K3858" i="47" s="1"/>
  <c r="J3874" i="47"/>
  <c r="K3874" i="47" s="1"/>
  <c r="J3761" i="47"/>
  <c r="K3761" i="47" s="1"/>
  <c r="J3825" i="47"/>
  <c r="K3825" i="47" s="1"/>
  <c r="J3734" i="47"/>
  <c r="K3734" i="47" s="1"/>
  <c r="J3798" i="47"/>
  <c r="K3798" i="47" s="1"/>
  <c r="J3759" i="47"/>
  <c r="K3759" i="47" s="1"/>
  <c r="J3823" i="47"/>
  <c r="K3823" i="47" s="1"/>
  <c r="J3752" i="47"/>
  <c r="K3752" i="47" s="1"/>
  <c r="J3816" i="47"/>
  <c r="K3816" i="47" s="1"/>
  <c r="J3880" i="47"/>
  <c r="K3880" i="47" s="1"/>
  <c r="J3781" i="47"/>
  <c r="K3781" i="47" s="1"/>
  <c r="J3754" i="47"/>
  <c r="K3754" i="47" s="1"/>
  <c r="J3818" i="47"/>
  <c r="K3818" i="47" s="1"/>
  <c r="J3727" i="47"/>
  <c r="K3727" i="47" s="1"/>
  <c r="J3731" i="47"/>
  <c r="K3731" i="47" s="1"/>
  <c r="J3795" i="47"/>
  <c r="K3795" i="47" s="1"/>
  <c r="J3859" i="47"/>
  <c r="K3859" i="47" s="1"/>
  <c r="J3756" i="47"/>
  <c r="K3756" i="47" s="1"/>
  <c r="J3820" i="47"/>
  <c r="K3820" i="47" s="1"/>
  <c r="J3884" i="47"/>
  <c r="K3884" i="47" s="1"/>
  <c r="J3769" i="47"/>
  <c r="K3769" i="47" s="1"/>
  <c r="J3742" i="47"/>
  <c r="K3742" i="47" s="1"/>
  <c r="J3806" i="47"/>
  <c r="K3806" i="47" s="1"/>
  <c r="J3767" i="47"/>
  <c r="K3767" i="47" s="1"/>
  <c r="J3831" i="47"/>
  <c r="K3831" i="47" s="1"/>
  <c r="J3760" i="47"/>
  <c r="K3760" i="47" s="1"/>
  <c r="J3824" i="47"/>
  <c r="K3824" i="47" s="1"/>
  <c r="J3725" i="47"/>
  <c r="J3789" i="47"/>
  <c r="K3789" i="47" s="1"/>
  <c r="J3730" i="47"/>
  <c r="K3730" i="47" s="1"/>
  <c r="J3794" i="47"/>
  <c r="K3794" i="47" s="1"/>
  <c r="J3739" i="47"/>
  <c r="K3739" i="47" s="1"/>
  <c r="J3803" i="47"/>
  <c r="K3803" i="47" s="1"/>
  <c r="J3867" i="47"/>
  <c r="K3867" i="47" s="1"/>
  <c r="J3748" i="47"/>
  <c r="K3748" i="47" s="1"/>
  <c r="J3812" i="47"/>
  <c r="K3812" i="47" s="1"/>
  <c r="J3833" i="47"/>
  <c r="K3833" i="47" s="1"/>
  <c r="J3849" i="47"/>
  <c r="K3849" i="47" s="1"/>
  <c r="J3865" i="47"/>
  <c r="K3865" i="47" s="1"/>
  <c r="J3881" i="47"/>
  <c r="K3881" i="47" s="1"/>
  <c r="J3846" i="47"/>
  <c r="K3846" i="47" s="1"/>
  <c r="J3862" i="47"/>
  <c r="K3862" i="47" s="1"/>
  <c r="J3878" i="47"/>
  <c r="K3878" i="47" s="1"/>
  <c r="J3777" i="47"/>
  <c r="K3777" i="47" s="1"/>
  <c r="J3750" i="47"/>
  <c r="K3750" i="47" s="1"/>
  <c r="J3814" i="47"/>
  <c r="K3814" i="47" s="1"/>
  <c r="J3728" i="47"/>
  <c r="K3728" i="47" s="1"/>
  <c r="S121" i="46"/>
  <c r="T121" i="46"/>
  <c r="R121" i="46"/>
  <c r="B164" i="35"/>
  <c r="F164" i="35"/>
  <c r="C164" i="35"/>
  <c r="G164" i="35"/>
  <c r="E164" i="35"/>
  <c r="C164" i="36"/>
  <c r="G164" i="36"/>
  <c r="F164" i="36"/>
  <c r="D164" i="35"/>
  <c r="B164" i="36"/>
  <c r="D164" i="36"/>
  <c r="E164" i="36"/>
  <c r="D164" i="37"/>
  <c r="E164" i="37"/>
  <c r="F164" i="37"/>
  <c r="B164" i="37"/>
  <c r="G164" i="37"/>
  <c r="D164" i="38"/>
  <c r="C164" i="37"/>
  <c r="E164" i="38"/>
  <c r="B164" i="38"/>
  <c r="C164" i="34"/>
  <c r="G164" i="34"/>
  <c r="C164" i="38"/>
  <c r="F164" i="38"/>
  <c r="G164" i="38"/>
  <c r="B164" i="34"/>
  <c r="F164" i="34"/>
  <c r="E164" i="34"/>
  <c r="B130" i="41"/>
  <c r="D164" i="34"/>
  <c r="K3725" i="47" l="1"/>
  <c r="L3725" i="47"/>
  <c r="L3726" i="47" s="1"/>
  <c r="L3727" i="47" s="1"/>
  <c r="L3728" i="47" s="1"/>
  <c r="L3729" i="47" s="1"/>
  <c r="L3730" i="47" s="1"/>
  <c r="L3731" i="47" s="1"/>
  <c r="L3732" i="47" s="1"/>
  <c r="L3733" i="47" s="1"/>
  <c r="L3734" i="47" s="1"/>
  <c r="L3735" i="47" s="1"/>
  <c r="L3736" i="47" s="1"/>
  <c r="L3737" i="47" s="1"/>
  <c r="L3738" i="47" s="1"/>
  <c r="L3739" i="47" s="1"/>
  <c r="L3740" i="47" s="1"/>
  <c r="L3741" i="47" s="1"/>
  <c r="L3742" i="47" s="1"/>
  <c r="L3743" i="47" s="1"/>
  <c r="L3744" i="47" s="1"/>
  <c r="L3745" i="47" s="1"/>
  <c r="L3746" i="47" s="1"/>
  <c r="L3747" i="47" s="1"/>
  <c r="L3748" i="47" s="1"/>
  <c r="L3749" i="47" s="1"/>
  <c r="L3750" i="47" s="1"/>
  <c r="L3751" i="47" s="1"/>
  <c r="L3752" i="47" s="1"/>
  <c r="L3753" i="47" s="1"/>
  <c r="L3754" i="47" s="1"/>
  <c r="L3755" i="47" s="1"/>
  <c r="L3756" i="47" s="1"/>
  <c r="L3757" i="47" s="1"/>
  <c r="L3758" i="47" s="1"/>
  <c r="L3759" i="47" s="1"/>
  <c r="L3760" i="47" s="1"/>
  <c r="L3761" i="47" s="1"/>
  <c r="L3762" i="47" s="1"/>
  <c r="L3763" i="47" s="1"/>
  <c r="L3764" i="47" s="1"/>
  <c r="L3765" i="47" s="1"/>
  <c r="L3766" i="47" s="1"/>
  <c r="L3767" i="47" s="1"/>
  <c r="L3768" i="47" s="1"/>
  <c r="L3769" i="47" s="1"/>
  <c r="L3770" i="47" s="1"/>
  <c r="L3771" i="47" s="1"/>
  <c r="L3772" i="47" s="1"/>
  <c r="L3773" i="47" s="1"/>
  <c r="L3774" i="47" s="1"/>
  <c r="L3775" i="47" s="1"/>
  <c r="L3776" i="47" s="1"/>
  <c r="L3777" i="47" s="1"/>
  <c r="L3778" i="47" s="1"/>
  <c r="L3779" i="47" s="1"/>
  <c r="L3780" i="47" s="1"/>
  <c r="L3781" i="47" s="1"/>
  <c r="L3782" i="47" s="1"/>
  <c r="L3783" i="47" s="1"/>
  <c r="L3784" i="47" s="1"/>
  <c r="L3785" i="47" s="1"/>
  <c r="L3786" i="47" s="1"/>
  <c r="L3787" i="47" s="1"/>
  <c r="L3788" i="47" s="1"/>
  <c r="L3789" i="47" s="1"/>
  <c r="L3790" i="47" s="1"/>
  <c r="L3791" i="47" s="1"/>
  <c r="L3792" i="47" s="1"/>
  <c r="L3793" i="47" s="1"/>
  <c r="L3794" i="47" s="1"/>
  <c r="L3795" i="47" s="1"/>
  <c r="L3796" i="47" s="1"/>
  <c r="L3797" i="47" s="1"/>
  <c r="L3798" i="47" s="1"/>
  <c r="L3799" i="47" s="1"/>
  <c r="L3800" i="47" s="1"/>
  <c r="L3801" i="47" s="1"/>
  <c r="L3802" i="47" s="1"/>
  <c r="L3803" i="47" s="1"/>
  <c r="L3804" i="47" s="1"/>
  <c r="L3805" i="47" s="1"/>
  <c r="L3806" i="47" s="1"/>
  <c r="L3807" i="47" s="1"/>
  <c r="L3808" i="47" s="1"/>
  <c r="L3809" i="47" s="1"/>
  <c r="L3810" i="47" s="1"/>
  <c r="L3811" i="47" s="1"/>
  <c r="L3812" i="47" s="1"/>
  <c r="L3813" i="47" s="1"/>
  <c r="L3814" i="47" s="1"/>
  <c r="L3815" i="47" s="1"/>
  <c r="L3816" i="47" s="1"/>
  <c r="L3817" i="47" s="1"/>
  <c r="L3818" i="47" s="1"/>
  <c r="L3819" i="47" s="1"/>
  <c r="L3820" i="47" s="1"/>
  <c r="L3821" i="47" s="1"/>
  <c r="L3822" i="47" s="1"/>
  <c r="L3823" i="47" s="1"/>
  <c r="L3824" i="47" s="1"/>
  <c r="L3825" i="47" s="1"/>
  <c r="L3826" i="47" s="1"/>
  <c r="L3827" i="47" s="1"/>
  <c r="L3828" i="47" s="1"/>
  <c r="L3829" i="47" s="1"/>
  <c r="L3830" i="47" s="1"/>
  <c r="L3831" i="47" s="1"/>
  <c r="L3832" i="47" s="1"/>
  <c r="L3833" i="47" s="1"/>
  <c r="L3834" i="47" s="1"/>
  <c r="L3835" i="47" s="1"/>
  <c r="L3836" i="47" s="1"/>
  <c r="L3837" i="47" s="1"/>
  <c r="L3838" i="47" s="1"/>
  <c r="L3839" i="47" s="1"/>
  <c r="L3840" i="47" s="1"/>
  <c r="L3841" i="47" s="1"/>
  <c r="L3842" i="47" s="1"/>
  <c r="L3843" i="47" s="1"/>
  <c r="L3844" i="47" s="1"/>
  <c r="L3845" i="47" s="1"/>
  <c r="L3846" i="47" s="1"/>
  <c r="L3847" i="47" s="1"/>
  <c r="L3848" i="47" s="1"/>
  <c r="L3849" i="47" s="1"/>
  <c r="L3850" i="47" s="1"/>
  <c r="L3851" i="47" s="1"/>
  <c r="L3852" i="47" s="1"/>
  <c r="L3853" i="47" s="1"/>
  <c r="L3854" i="47" s="1"/>
  <c r="L3855" i="47" s="1"/>
  <c r="L3856" i="47" s="1"/>
  <c r="L3857" i="47" s="1"/>
  <c r="L3858" i="47" s="1"/>
  <c r="L3859" i="47" s="1"/>
  <c r="L3860" i="47" s="1"/>
  <c r="L3861" i="47" s="1"/>
  <c r="L3862" i="47" s="1"/>
  <c r="L3863" i="47" s="1"/>
  <c r="L3864" i="47" s="1"/>
  <c r="L3865" i="47" s="1"/>
  <c r="L3866" i="47" s="1"/>
  <c r="L3867" i="47" s="1"/>
  <c r="L3868" i="47" s="1"/>
  <c r="L3869" i="47" s="1"/>
  <c r="L3870" i="47" s="1"/>
  <c r="L3871" i="47" s="1"/>
  <c r="L3872" i="47" s="1"/>
  <c r="L3873" i="47" s="1"/>
  <c r="L3874" i="47" s="1"/>
  <c r="L3875" i="47" s="1"/>
  <c r="L3876" i="47" s="1"/>
  <c r="L3877" i="47" s="1"/>
  <c r="L3878" i="47" s="1"/>
  <c r="L3879" i="47" s="1"/>
  <c r="L3880" i="47" s="1"/>
  <c r="L3881" i="47" s="1"/>
  <c r="L3882" i="47" s="1"/>
  <c r="L3883" i="47" s="1"/>
  <c r="L3884" i="47" s="1"/>
  <c r="L3885" i="47" s="1"/>
  <c r="L3886" i="47" s="1"/>
  <c r="J137" i="46"/>
  <c r="I137" i="46"/>
  <c r="T137" i="46"/>
  <c r="S137" i="46"/>
  <c r="R137" i="46"/>
  <c r="M3725" i="47"/>
  <c r="N3725" i="47" s="1"/>
  <c r="T138" i="46"/>
  <c r="R138" i="46"/>
  <c r="S138" i="46"/>
  <c r="D165" i="35"/>
  <c r="E165" i="35"/>
  <c r="B165" i="35"/>
  <c r="F165" i="35"/>
  <c r="C165" i="35"/>
  <c r="G165" i="35"/>
  <c r="E165" i="36"/>
  <c r="F165" i="36"/>
  <c r="B165" i="36"/>
  <c r="G165" i="36"/>
  <c r="C165" i="36"/>
  <c r="D165" i="36"/>
  <c r="B165" i="37"/>
  <c r="F165" i="37"/>
  <c r="D165" i="37"/>
  <c r="E165" i="37"/>
  <c r="G165" i="37"/>
  <c r="B165" i="38"/>
  <c r="F165" i="38"/>
  <c r="C165" i="37"/>
  <c r="C165" i="38"/>
  <c r="G165" i="38"/>
  <c r="D165" i="38"/>
  <c r="E165" i="34"/>
  <c r="E165" i="38"/>
  <c r="D165" i="34"/>
  <c r="G165" i="34"/>
  <c r="B165" i="34"/>
  <c r="B131" i="41"/>
  <c r="C165" i="34"/>
  <c r="F165" i="34"/>
  <c r="M3726" i="47" l="1"/>
  <c r="B166" i="35"/>
  <c r="F166" i="35"/>
  <c r="C166" i="35"/>
  <c r="G166" i="35"/>
  <c r="D166" i="35"/>
  <c r="E166" i="35"/>
  <c r="C166" i="36"/>
  <c r="G166" i="36"/>
  <c r="E166" i="36"/>
  <c r="F166" i="36"/>
  <c r="B166" i="36"/>
  <c r="D166" i="36"/>
  <c r="D166" i="37"/>
  <c r="C166" i="37"/>
  <c r="E166" i="37"/>
  <c r="F166" i="37"/>
  <c r="D166" i="38"/>
  <c r="B166" i="37"/>
  <c r="G166" i="37"/>
  <c r="E166" i="38"/>
  <c r="F166" i="38"/>
  <c r="C166" i="34"/>
  <c r="G166" i="34"/>
  <c r="G166" i="38"/>
  <c r="B166" i="38"/>
  <c r="C166" i="38"/>
  <c r="B166" i="34"/>
  <c r="F166" i="34"/>
  <c r="D166" i="34"/>
  <c r="E166" i="34"/>
  <c r="B132" i="41"/>
  <c r="M3727" i="47" l="1"/>
  <c r="N3726" i="47"/>
  <c r="D167" i="35"/>
  <c r="E167" i="35"/>
  <c r="F167" i="35"/>
  <c r="C167" i="35"/>
  <c r="B167" i="35"/>
  <c r="E167" i="36"/>
  <c r="D167" i="36"/>
  <c r="F167" i="36"/>
  <c r="G167" i="35"/>
  <c r="B167" i="36"/>
  <c r="G167" i="36"/>
  <c r="C167" i="36"/>
  <c r="B167" i="37"/>
  <c r="F167" i="37"/>
  <c r="C167" i="37"/>
  <c r="G167" i="37"/>
  <c r="D167" i="37"/>
  <c r="B167" i="38"/>
  <c r="F167" i="38"/>
  <c r="E167" i="37"/>
  <c r="C167" i="38"/>
  <c r="G167" i="38"/>
  <c r="E167" i="34"/>
  <c r="D167" i="38"/>
  <c r="E167" i="38"/>
  <c r="D167" i="34"/>
  <c r="C167" i="34"/>
  <c r="F167" i="34"/>
  <c r="G167" i="34"/>
  <c r="B167" i="34"/>
  <c r="B133" i="41"/>
  <c r="M3728" i="47" l="1"/>
  <c r="N3728" i="47" s="1"/>
  <c r="N3727" i="47"/>
  <c r="B168" i="35"/>
  <c r="F168" i="35"/>
  <c r="C168" i="35"/>
  <c r="G168" i="35"/>
  <c r="D168" i="35"/>
  <c r="E168" i="35"/>
  <c r="C168" i="36"/>
  <c r="G168" i="36"/>
  <c r="D168" i="36"/>
  <c r="E168" i="36"/>
  <c r="F168" i="36"/>
  <c r="B168" i="36"/>
  <c r="D168" i="37"/>
  <c r="E168" i="37"/>
  <c r="B168" i="37"/>
  <c r="F168" i="37"/>
  <c r="C168" i="37"/>
  <c r="G168" i="37"/>
  <c r="E168" i="38"/>
  <c r="B168" i="38"/>
  <c r="G168" i="38"/>
  <c r="C168" i="34"/>
  <c r="G168" i="34"/>
  <c r="C168" i="38"/>
  <c r="D168" i="38"/>
  <c r="F168" i="38"/>
  <c r="B168" i="34"/>
  <c r="F168" i="34"/>
  <c r="E168" i="34"/>
  <c r="B134" i="41"/>
  <c r="D168" i="34"/>
  <c r="M3729" i="47" l="1"/>
  <c r="N3729" i="47" s="1"/>
  <c r="D169" i="35"/>
  <c r="E169" i="35"/>
  <c r="B169" i="35"/>
  <c r="C169" i="35"/>
  <c r="G169" i="35"/>
  <c r="F169" i="35"/>
  <c r="E169" i="36"/>
  <c r="C169" i="36"/>
  <c r="D169" i="36"/>
  <c r="F169" i="36"/>
  <c r="B169" i="36"/>
  <c r="G169" i="36"/>
  <c r="B169" i="37"/>
  <c r="F169" i="37"/>
  <c r="C169" i="37"/>
  <c r="G169" i="37"/>
  <c r="D169" i="37"/>
  <c r="E169" i="37"/>
  <c r="C169" i="38"/>
  <c r="G169" i="38"/>
  <c r="F169" i="38"/>
  <c r="E169" i="34"/>
  <c r="B169" i="38"/>
  <c r="D169" i="38"/>
  <c r="E169" i="38"/>
  <c r="D169" i="34"/>
  <c r="G169" i="34"/>
  <c r="B169" i="34"/>
  <c r="B135" i="41"/>
  <c r="C169" i="34"/>
  <c r="F169" i="34"/>
  <c r="M3730" i="47" l="1"/>
  <c r="N3730" i="47" s="1"/>
  <c r="B170" i="35"/>
  <c r="F170" i="35"/>
  <c r="C170" i="35"/>
  <c r="G170" i="35"/>
  <c r="D170" i="35"/>
  <c r="E170" i="35"/>
  <c r="C170" i="36"/>
  <c r="G170" i="36"/>
  <c r="B170" i="36"/>
  <c r="D170" i="36"/>
  <c r="E170" i="36"/>
  <c r="F170" i="36"/>
  <c r="D170" i="37"/>
  <c r="E170" i="37"/>
  <c r="B170" i="37"/>
  <c r="F170" i="37"/>
  <c r="C170" i="37"/>
  <c r="G170" i="37"/>
  <c r="E170" i="38"/>
  <c r="F170" i="38"/>
  <c r="C170" i="34"/>
  <c r="G170" i="34"/>
  <c r="B170" i="38"/>
  <c r="G170" i="38"/>
  <c r="C170" i="38"/>
  <c r="D170" i="38"/>
  <c r="B170" i="34"/>
  <c r="F170" i="34"/>
  <c r="D170" i="34"/>
  <c r="E170" i="34"/>
  <c r="B136" i="41"/>
  <c r="M3731" i="47" l="1"/>
  <c r="D171" i="35"/>
  <c r="E171" i="35"/>
  <c r="F171" i="35"/>
  <c r="B171" i="35"/>
  <c r="G171" i="35"/>
  <c r="E171" i="36"/>
  <c r="B171" i="36"/>
  <c r="G171" i="36"/>
  <c r="C171" i="36"/>
  <c r="D171" i="36"/>
  <c r="C171" i="35"/>
  <c r="F171" i="36"/>
  <c r="B171" i="37"/>
  <c r="F171" i="37"/>
  <c r="C171" i="37"/>
  <c r="G171" i="37"/>
  <c r="D171" i="37"/>
  <c r="E171" i="37"/>
  <c r="C171" i="38"/>
  <c r="G171" i="38"/>
  <c r="E171" i="38"/>
  <c r="F171" i="38"/>
  <c r="B171" i="38"/>
  <c r="D171" i="38"/>
  <c r="D171" i="34"/>
  <c r="C171" i="34"/>
  <c r="E171" i="34"/>
  <c r="F171" i="34"/>
  <c r="B171" i="34"/>
  <c r="G171" i="34"/>
  <c r="B137" i="41"/>
  <c r="M3732" i="47" l="1"/>
  <c r="N3732" i="47" s="1"/>
  <c r="N3731" i="47"/>
  <c r="B172" i="35"/>
  <c r="F172" i="35"/>
  <c r="C172" i="35"/>
  <c r="G172" i="35"/>
  <c r="E172" i="35"/>
  <c r="D172" i="35"/>
  <c r="C172" i="36"/>
  <c r="G172" i="36"/>
  <c r="F172" i="36"/>
  <c r="B172" i="36"/>
  <c r="D172" i="36"/>
  <c r="E172" i="36"/>
  <c r="D172" i="37"/>
  <c r="E172" i="37"/>
  <c r="B172" i="37"/>
  <c r="F172" i="37"/>
  <c r="C172" i="37"/>
  <c r="G172" i="37"/>
  <c r="E172" i="38"/>
  <c r="D172" i="38"/>
  <c r="F172" i="38"/>
  <c r="B172" i="38"/>
  <c r="G172" i="38"/>
  <c r="C172" i="38"/>
  <c r="B172" i="34"/>
  <c r="F172" i="34"/>
  <c r="C172" i="34"/>
  <c r="B138" i="41"/>
  <c r="D172" i="34"/>
  <c r="E172" i="34"/>
  <c r="G172" i="34"/>
  <c r="M3733" i="47" l="1"/>
  <c r="N3733" i="47" s="1"/>
  <c r="D173" i="35"/>
  <c r="E173" i="35"/>
  <c r="B173" i="35"/>
  <c r="F173" i="35"/>
  <c r="C173" i="35"/>
  <c r="G173" i="35"/>
  <c r="E173" i="36"/>
  <c r="F173" i="36"/>
  <c r="B173" i="36"/>
  <c r="G173" i="36"/>
  <c r="C173" i="36"/>
  <c r="D173" i="36"/>
  <c r="B173" i="37"/>
  <c r="F173" i="37"/>
  <c r="C173" i="37"/>
  <c r="G173" i="37"/>
  <c r="D173" i="37"/>
  <c r="E173" i="37"/>
  <c r="C173" i="38"/>
  <c r="G173" i="38"/>
  <c r="D173" i="38"/>
  <c r="E173" i="38"/>
  <c r="B173" i="38"/>
  <c r="F173" i="38"/>
  <c r="D173" i="34"/>
  <c r="B173" i="34"/>
  <c r="G173" i="34"/>
  <c r="C173" i="34"/>
  <c r="B139" i="41"/>
  <c r="E173" i="34"/>
  <c r="F173" i="34"/>
  <c r="M3734" i="47" l="1"/>
  <c r="N3734" i="47" s="1"/>
  <c r="B174" i="35"/>
  <c r="F174" i="35"/>
  <c r="C174" i="35"/>
  <c r="G174" i="35"/>
  <c r="D174" i="35"/>
  <c r="E174" i="35"/>
  <c r="C174" i="36"/>
  <c r="G174" i="36"/>
  <c r="E174" i="36"/>
  <c r="F174" i="36"/>
  <c r="B174" i="36"/>
  <c r="D174" i="36"/>
  <c r="D174" i="37"/>
  <c r="E174" i="37"/>
  <c r="B174" i="37"/>
  <c r="F174" i="37"/>
  <c r="C174" i="37"/>
  <c r="G174" i="37"/>
  <c r="E174" i="38"/>
  <c r="B174" i="38"/>
  <c r="F174" i="38"/>
  <c r="C174" i="38"/>
  <c r="G174" i="38"/>
  <c r="D174" i="38"/>
  <c r="B174" i="34"/>
  <c r="F174" i="34"/>
  <c r="G174" i="34"/>
  <c r="C174" i="34"/>
  <c r="D174" i="34"/>
  <c r="B140" i="41"/>
  <c r="E174" i="34"/>
  <c r="M3735" i="47" l="1"/>
  <c r="D175" i="35"/>
  <c r="E175" i="35"/>
  <c r="F175" i="35"/>
  <c r="C175" i="35"/>
  <c r="G175" i="35"/>
  <c r="E175" i="36"/>
  <c r="B175" i="35"/>
  <c r="D175" i="36"/>
  <c r="F175" i="36"/>
  <c r="B175" i="36"/>
  <c r="G175" i="36"/>
  <c r="C175" i="36"/>
  <c r="B175" i="37"/>
  <c r="F175" i="37"/>
  <c r="C175" i="37"/>
  <c r="G175" i="37"/>
  <c r="D175" i="37"/>
  <c r="E175" i="37"/>
  <c r="C175" i="38"/>
  <c r="G175" i="38"/>
  <c r="D175" i="38"/>
  <c r="E175" i="38"/>
  <c r="B175" i="38"/>
  <c r="F175" i="38"/>
  <c r="D175" i="34"/>
  <c r="F175" i="34"/>
  <c r="B175" i="34"/>
  <c r="G175" i="34"/>
  <c r="C175" i="34"/>
  <c r="E175" i="34"/>
  <c r="B141" i="41"/>
  <c r="M3736" i="47" l="1"/>
  <c r="N3736" i="47" s="1"/>
  <c r="N3735" i="47"/>
  <c r="B176" i="35"/>
  <c r="F176" i="35"/>
  <c r="C176" i="35"/>
  <c r="G176" i="35"/>
  <c r="D176" i="35"/>
  <c r="E176" i="35"/>
  <c r="C176" i="36"/>
  <c r="G176" i="36"/>
  <c r="D176" i="36"/>
  <c r="E176" i="36"/>
  <c r="F176" i="36"/>
  <c r="B176" i="36"/>
  <c r="D176" i="37"/>
  <c r="E176" i="37"/>
  <c r="B176" i="37"/>
  <c r="F176" i="37"/>
  <c r="C176" i="37"/>
  <c r="G176" i="37"/>
  <c r="E176" i="38"/>
  <c r="B176" i="38"/>
  <c r="F176" i="38"/>
  <c r="C176" i="38"/>
  <c r="G176" i="38"/>
  <c r="D176" i="38"/>
  <c r="B176" i="34"/>
  <c r="F176" i="34"/>
  <c r="E176" i="34"/>
  <c r="B142" i="41"/>
  <c r="G176" i="34"/>
  <c r="C176" i="34"/>
  <c r="D176" i="34"/>
  <c r="M3737" i="47" l="1"/>
  <c r="N3737" i="47" s="1"/>
  <c r="B177" i="35"/>
  <c r="F177" i="35"/>
  <c r="E177" i="35"/>
  <c r="C177" i="35"/>
  <c r="D177" i="35"/>
  <c r="E177" i="36"/>
  <c r="C177" i="36"/>
  <c r="G177" i="35"/>
  <c r="D177" i="36"/>
  <c r="F177" i="36"/>
  <c r="B177" i="36"/>
  <c r="G177" i="36"/>
  <c r="B177" i="37"/>
  <c r="F177" i="37"/>
  <c r="C177" i="37"/>
  <c r="G177" i="37"/>
  <c r="D177" i="37"/>
  <c r="E177" i="37"/>
  <c r="C177" i="38"/>
  <c r="G177" i="38"/>
  <c r="D177" i="38"/>
  <c r="E177" i="38"/>
  <c r="B177" i="38"/>
  <c r="F177" i="38"/>
  <c r="D177" i="34"/>
  <c r="E177" i="34"/>
  <c r="F177" i="34"/>
  <c r="B143" i="41"/>
  <c r="B177" i="34"/>
  <c r="G177" i="34"/>
  <c r="C177" i="34"/>
  <c r="M3738" i="47" l="1"/>
  <c r="N3738" i="47" s="1"/>
  <c r="D178" i="35"/>
  <c r="E178" i="35"/>
  <c r="B178" i="35"/>
  <c r="G178" i="35"/>
  <c r="C178" i="35"/>
  <c r="F178" i="35"/>
  <c r="C178" i="36"/>
  <c r="G178" i="36"/>
  <c r="B178" i="36"/>
  <c r="D178" i="36"/>
  <c r="E178" i="36"/>
  <c r="F178" i="36"/>
  <c r="D178" i="37"/>
  <c r="E178" i="37"/>
  <c r="B178" i="37"/>
  <c r="F178" i="37"/>
  <c r="C178" i="37"/>
  <c r="G178" i="37"/>
  <c r="E178" i="38"/>
  <c r="B178" i="38"/>
  <c r="F178" i="38"/>
  <c r="C178" i="38"/>
  <c r="G178" i="38"/>
  <c r="D178" i="38"/>
  <c r="B178" i="34"/>
  <c r="F178" i="34"/>
  <c r="D178" i="34"/>
  <c r="E178" i="34"/>
  <c r="G178" i="34"/>
  <c r="B144" i="41"/>
  <c r="C178" i="34"/>
  <c r="M3739" i="47" l="1"/>
  <c r="B179" i="35"/>
  <c r="F179" i="35"/>
  <c r="D179" i="35"/>
  <c r="G179" i="35"/>
  <c r="C179" i="35"/>
  <c r="E179" i="36"/>
  <c r="B179" i="36"/>
  <c r="G179" i="36"/>
  <c r="C179" i="36"/>
  <c r="E179" i="35"/>
  <c r="D179" i="36"/>
  <c r="F179" i="36"/>
  <c r="B179" i="37"/>
  <c r="F179" i="37"/>
  <c r="C179" i="37"/>
  <c r="G179" i="37"/>
  <c r="D179" i="37"/>
  <c r="E179" i="37"/>
  <c r="C179" i="38"/>
  <c r="G179" i="38"/>
  <c r="D179" i="38"/>
  <c r="E179" i="38"/>
  <c r="B179" i="38"/>
  <c r="F179" i="38"/>
  <c r="D179" i="34"/>
  <c r="C179" i="34"/>
  <c r="E179" i="34"/>
  <c r="F179" i="34"/>
  <c r="B179" i="34"/>
  <c r="G179" i="34"/>
  <c r="B145" i="41"/>
  <c r="M3740" i="47" l="1"/>
  <c r="N3740" i="47" s="1"/>
  <c r="N3739" i="47"/>
  <c r="D180" i="35"/>
  <c r="C180" i="35"/>
  <c r="F180" i="35"/>
  <c r="B180" i="35"/>
  <c r="E180" i="35"/>
  <c r="G180" i="35"/>
  <c r="C180" i="36"/>
  <c r="G180" i="36"/>
  <c r="F180" i="36"/>
  <c r="B180" i="36"/>
  <c r="D180" i="36"/>
  <c r="E180" i="36"/>
  <c r="D180" i="37"/>
  <c r="E180" i="37"/>
  <c r="B180" i="37"/>
  <c r="F180" i="37"/>
  <c r="C180" i="37"/>
  <c r="G180" i="37"/>
  <c r="E180" i="38"/>
  <c r="B180" i="38"/>
  <c r="F180" i="38"/>
  <c r="C180" i="38"/>
  <c r="G180" i="38"/>
  <c r="D180" i="38"/>
  <c r="B180" i="34"/>
  <c r="F180" i="34"/>
  <c r="C180" i="34"/>
  <c r="B146" i="41"/>
  <c r="D180" i="34"/>
  <c r="E180" i="34"/>
  <c r="G180" i="34"/>
  <c r="M3741" i="47" l="1"/>
  <c r="N3741" i="47"/>
  <c r="B181" i="35"/>
  <c r="F181" i="35"/>
  <c r="C181" i="35"/>
  <c r="E181" i="35"/>
  <c r="G181" i="35"/>
  <c r="E181" i="36"/>
  <c r="F181" i="36"/>
  <c r="B181" i="36"/>
  <c r="G181" i="36"/>
  <c r="C181" i="36"/>
  <c r="D181" i="35"/>
  <c r="D181" i="36"/>
  <c r="B181" i="37"/>
  <c r="F181" i="37"/>
  <c r="C181" i="37"/>
  <c r="G181" i="37"/>
  <c r="D181" i="37"/>
  <c r="E181" i="37"/>
  <c r="C181" i="38"/>
  <c r="G181" i="38"/>
  <c r="D181" i="38"/>
  <c r="E181" i="38"/>
  <c r="B181" i="38"/>
  <c r="F181" i="38"/>
  <c r="D181" i="34"/>
  <c r="B181" i="34"/>
  <c r="G181" i="34"/>
  <c r="C181" i="34"/>
  <c r="B147" i="41"/>
  <c r="E181" i="34"/>
  <c r="F181" i="34"/>
  <c r="M3742" i="47" l="1"/>
  <c r="N3742" i="47" s="1"/>
  <c r="D182" i="35"/>
  <c r="B182" i="35"/>
  <c r="G182" i="35"/>
  <c r="E182" i="35"/>
  <c r="C182" i="35"/>
  <c r="F182" i="35"/>
  <c r="C182" i="36"/>
  <c r="G182" i="36"/>
  <c r="E182" i="36"/>
  <c r="F182" i="36"/>
  <c r="B182" i="36"/>
  <c r="D182" i="36"/>
  <c r="D182" i="37"/>
  <c r="E182" i="37"/>
  <c r="B182" i="37"/>
  <c r="F182" i="37"/>
  <c r="C182" i="37"/>
  <c r="G182" i="37"/>
  <c r="E182" i="38"/>
  <c r="B182" i="38"/>
  <c r="F182" i="38"/>
  <c r="C182" i="38"/>
  <c r="G182" i="38"/>
  <c r="D182" i="38"/>
  <c r="B182" i="34"/>
  <c r="F182" i="34"/>
  <c r="G182" i="34"/>
  <c r="C182" i="34"/>
  <c r="D182" i="34"/>
  <c r="B148" i="41"/>
  <c r="E182" i="34"/>
  <c r="M3743" i="47" l="1"/>
  <c r="B183" i="35"/>
  <c r="F183" i="35"/>
  <c r="G183" i="35"/>
  <c r="D183" i="35"/>
  <c r="E183" i="35"/>
  <c r="E183" i="36"/>
  <c r="C183" i="35"/>
  <c r="D183" i="36"/>
  <c r="F183" i="36"/>
  <c r="B183" i="36"/>
  <c r="G183" i="36"/>
  <c r="C183" i="36"/>
  <c r="B183" i="37"/>
  <c r="F183" i="37"/>
  <c r="C183" i="37"/>
  <c r="G183" i="37"/>
  <c r="D183" i="37"/>
  <c r="E183" i="37"/>
  <c r="C183" i="38"/>
  <c r="G183" i="38"/>
  <c r="D183" i="38"/>
  <c r="E183" i="38"/>
  <c r="B183" i="38"/>
  <c r="F183" i="38"/>
  <c r="D183" i="34"/>
  <c r="F183" i="34"/>
  <c r="B183" i="34"/>
  <c r="G183" i="34"/>
  <c r="C183" i="34"/>
  <c r="E183" i="34"/>
  <c r="B149" i="41"/>
  <c r="M3744" i="47" l="1"/>
  <c r="N3744" i="47" s="1"/>
  <c r="N3743" i="47"/>
  <c r="D184" i="35"/>
  <c r="F184" i="35"/>
  <c r="C184" i="35"/>
  <c r="B184" i="35"/>
  <c r="E184" i="35"/>
  <c r="C184" i="36"/>
  <c r="G184" i="36"/>
  <c r="D184" i="36"/>
  <c r="G184" i="35"/>
  <c r="E184" i="36"/>
  <c r="F184" i="36"/>
  <c r="B184" i="36"/>
  <c r="D184" i="37"/>
  <c r="E184" i="37"/>
  <c r="B184" i="37"/>
  <c r="F184" i="37"/>
  <c r="C184" i="37"/>
  <c r="G184" i="37"/>
  <c r="E184" i="38"/>
  <c r="B184" i="38"/>
  <c r="F184" i="38"/>
  <c r="C184" i="38"/>
  <c r="G184" i="38"/>
  <c r="D184" i="38"/>
  <c r="B184" i="34"/>
  <c r="F184" i="34"/>
  <c r="E184" i="34"/>
  <c r="B150" i="41"/>
  <c r="G184" i="34"/>
  <c r="C184" i="34"/>
  <c r="D184" i="34"/>
  <c r="M3745" i="47" l="1"/>
  <c r="N3745" i="47" s="1"/>
  <c r="B185" i="35"/>
  <c r="F185" i="35"/>
  <c r="E185" i="35"/>
  <c r="C185" i="35"/>
  <c r="D185" i="35"/>
  <c r="G185" i="35"/>
  <c r="E185" i="36"/>
  <c r="C185" i="36"/>
  <c r="D185" i="36"/>
  <c r="F185" i="36"/>
  <c r="B185" i="36"/>
  <c r="G185" i="36"/>
  <c r="B185" i="37"/>
  <c r="F185" i="37"/>
  <c r="C185" i="37"/>
  <c r="G185" i="37"/>
  <c r="D185" i="37"/>
  <c r="E185" i="37"/>
  <c r="C185" i="38"/>
  <c r="G185" i="38"/>
  <c r="D185" i="38"/>
  <c r="E185" i="38"/>
  <c r="B185" i="38"/>
  <c r="F185" i="38"/>
  <c r="D185" i="34"/>
  <c r="E185" i="34"/>
  <c r="F185" i="34"/>
  <c r="B151" i="41"/>
  <c r="B185" i="34"/>
  <c r="G185" i="34"/>
  <c r="C185" i="34"/>
  <c r="M3746" i="47" l="1"/>
  <c r="N3746" i="47" s="1"/>
  <c r="D186" i="35"/>
  <c r="E186" i="35"/>
  <c r="B186" i="35"/>
  <c r="G186" i="35"/>
  <c r="C186" i="35"/>
  <c r="C186" i="36"/>
  <c r="G186" i="36"/>
  <c r="B186" i="36"/>
  <c r="D186" i="36"/>
  <c r="F186" i="35"/>
  <c r="E186" i="36"/>
  <c r="F186" i="36"/>
  <c r="D186" i="37"/>
  <c r="E186" i="37"/>
  <c r="B186" i="37"/>
  <c r="F186" i="37"/>
  <c r="C186" i="37"/>
  <c r="G186" i="37"/>
  <c r="E186" i="38"/>
  <c r="B186" i="38"/>
  <c r="F186" i="38"/>
  <c r="C186" i="38"/>
  <c r="G186" i="38"/>
  <c r="D186" i="38"/>
  <c r="B186" i="34"/>
  <c r="F186" i="34"/>
  <c r="D186" i="34"/>
  <c r="E186" i="34"/>
  <c r="G186" i="34"/>
  <c r="B152" i="41"/>
  <c r="C186" i="34"/>
  <c r="M3747" i="47" l="1"/>
  <c r="N3747" i="47" s="1"/>
  <c r="B187" i="35"/>
  <c r="F187" i="35"/>
  <c r="D187" i="35"/>
  <c r="G187" i="35"/>
  <c r="C187" i="35"/>
  <c r="E187" i="35"/>
  <c r="E187" i="36"/>
  <c r="B187" i="36"/>
  <c r="G187" i="36"/>
  <c r="C187" i="36"/>
  <c r="D187" i="36"/>
  <c r="F187" i="36"/>
  <c r="B187" i="37"/>
  <c r="F187" i="37"/>
  <c r="C187" i="37"/>
  <c r="G187" i="37"/>
  <c r="D187" i="37"/>
  <c r="E187" i="37"/>
  <c r="C187" i="38"/>
  <c r="G187" i="38"/>
  <c r="D187" i="38"/>
  <c r="E187" i="38"/>
  <c r="B187" i="38"/>
  <c r="F187" i="38"/>
  <c r="D187" i="34"/>
  <c r="C187" i="34"/>
  <c r="E187" i="34"/>
  <c r="F187" i="34"/>
  <c r="B187" i="34"/>
  <c r="G187" i="34"/>
  <c r="B153" i="41"/>
  <c r="M3748" i="47" l="1"/>
  <c r="N3748" i="47" s="1"/>
  <c r="D188" i="35"/>
  <c r="C188" i="35"/>
  <c r="F188" i="35"/>
  <c r="G188" i="35"/>
  <c r="B188" i="35"/>
  <c r="C188" i="36"/>
  <c r="G188" i="36"/>
  <c r="F188" i="36"/>
  <c r="B188" i="36"/>
  <c r="D188" i="36"/>
  <c r="E188" i="35"/>
  <c r="E188" i="36"/>
  <c r="D188" i="37"/>
  <c r="E188" i="37"/>
  <c r="B188" i="37"/>
  <c r="F188" i="37"/>
  <c r="C188" i="37"/>
  <c r="G188" i="37"/>
  <c r="E188" i="38"/>
  <c r="B188" i="38"/>
  <c r="F188" i="38"/>
  <c r="C188" i="38"/>
  <c r="G188" i="38"/>
  <c r="D188" i="38"/>
  <c r="B188" i="34"/>
  <c r="F188" i="34"/>
  <c r="C188" i="34"/>
  <c r="B154" i="41"/>
  <c r="D188" i="34"/>
  <c r="E188" i="34"/>
  <c r="G188" i="34"/>
  <c r="M3749" i="47" l="1"/>
  <c r="N3749" i="47" s="1"/>
  <c r="B189" i="35"/>
  <c r="F189" i="35"/>
  <c r="C189" i="35"/>
  <c r="E189" i="35"/>
  <c r="D189" i="35"/>
  <c r="G189" i="35"/>
  <c r="E189" i="36"/>
  <c r="F189" i="36"/>
  <c r="B189" i="36"/>
  <c r="G189" i="36"/>
  <c r="C189" i="36"/>
  <c r="D189" i="36"/>
  <c r="B189" i="37"/>
  <c r="F189" i="37"/>
  <c r="C189" i="37"/>
  <c r="G189" i="37"/>
  <c r="D189" i="37"/>
  <c r="E189" i="37"/>
  <c r="C189" i="38"/>
  <c r="G189" i="38"/>
  <c r="D189" i="38"/>
  <c r="E189" i="38"/>
  <c r="B189" i="38"/>
  <c r="F189" i="38"/>
  <c r="D189" i="34"/>
  <c r="B189" i="34"/>
  <c r="G189" i="34"/>
  <c r="C189" i="34"/>
  <c r="B155" i="41"/>
  <c r="E189" i="34"/>
  <c r="F189" i="34"/>
  <c r="M3750" i="47" l="1"/>
  <c r="N3750" i="47" s="1"/>
  <c r="D190" i="35"/>
  <c r="B190" i="35"/>
  <c r="G190" i="35"/>
  <c r="E190" i="35"/>
  <c r="F190" i="35"/>
  <c r="C190" i="36"/>
  <c r="G190" i="36"/>
  <c r="C190" i="35"/>
  <c r="E190" i="36"/>
  <c r="F190" i="36"/>
  <c r="B190" i="36"/>
  <c r="D190" i="36"/>
  <c r="D190" i="37"/>
  <c r="E190" i="37"/>
  <c r="B190" i="37"/>
  <c r="F190" i="37"/>
  <c r="C190" i="37"/>
  <c r="G190" i="37"/>
  <c r="E190" i="38"/>
  <c r="B190" i="38"/>
  <c r="F190" i="38"/>
  <c r="C190" i="38"/>
  <c r="G190" i="38"/>
  <c r="D190" i="38"/>
  <c r="B190" i="34"/>
  <c r="F190" i="34"/>
  <c r="G190" i="34"/>
  <c r="C190" i="34"/>
  <c r="D190" i="34"/>
  <c r="B156" i="41"/>
  <c r="E190" i="34"/>
  <c r="M3751" i="47" l="1"/>
  <c r="B191" i="35"/>
  <c r="F191" i="35"/>
  <c r="G191" i="35"/>
  <c r="D191" i="35"/>
  <c r="C191" i="35"/>
  <c r="E191" i="35"/>
  <c r="E191" i="36"/>
  <c r="D191" i="36"/>
  <c r="F191" i="36"/>
  <c r="B191" i="36"/>
  <c r="G191" i="36"/>
  <c r="C191" i="36"/>
  <c r="B191" i="37"/>
  <c r="F191" i="37"/>
  <c r="C191" i="37"/>
  <c r="G191" i="37"/>
  <c r="D191" i="37"/>
  <c r="E191" i="37"/>
  <c r="C191" i="38"/>
  <c r="G191" i="38"/>
  <c r="D191" i="38"/>
  <c r="E191" i="38"/>
  <c r="B191" i="38"/>
  <c r="F191" i="38"/>
  <c r="D191" i="34"/>
  <c r="F191" i="34"/>
  <c r="B191" i="34"/>
  <c r="G191" i="34"/>
  <c r="C191" i="34"/>
  <c r="E191" i="34"/>
  <c r="B157" i="41"/>
  <c r="M3752" i="47" l="1"/>
  <c r="M3753" i="47" s="1"/>
  <c r="N3751" i="47"/>
  <c r="D192" i="35"/>
  <c r="F192" i="35"/>
  <c r="C192" i="35"/>
  <c r="E192" i="35"/>
  <c r="G192" i="35"/>
  <c r="C192" i="36"/>
  <c r="G192" i="36"/>
  <c r="D192" i="36"/>
  <c r="B192" i="35"/>
  <c r="E192" i="36"/>
  <c r="F192" i="36"/>
  <c r="B192" i="36"/>
  <c r="D192" i="37"/>
  <c r="E192" i="37"/>
  <c r="B192" i="37"/>
  <c r="F192" i="37"/>
  <c r="C192" i="37"/>
  <c r="G192" i="37"/>
  <c r="E192" i="38"/>
  <c r="B192" i="38"/>
  <c r="F192" i="38"/>
  <c r="C192" i="38"/>
  <c r="G192" i="38"/>
  <c r="D192" i="38"/>
  <c r="B192" i="34"/>
  <c r="F192" i="34"/>
  <c r="E192" i="34"/>
  <c r="B158" i="41"/>
  <c r="G192" i="34"/>
  <c r="C192" i="34"/>
  <c r="D192" i="34"/>
  <c r="N3752" i="47" l="1"/>
  <c r="N3753" i="47"/>
  <c r="M3754" i="47"/>
  <c r="N3754" i="47" s="1"/>
  <c r="B193" i="35"/>
  <c r="F193" i="35"/>
  <c r="E193" i="35"/>
  <c r="C193" i="35"/>
  <c r="D193" i="35"/>
  <c r="E193" i="36"/>
  <c r="C193" i="36"/>
  <c r="D193" i="36"/>
  <c r="G193" i="35"/>
  <c r="F193" i="36"/>
  <c r="B193" i="36"/>
  <c r="G193" i="36"/>
  <c r="B193" i="37"/>
  <c r="F193" i="37"/>
  <c r="C193" i="37"/>
  <c r="G193" i="37"/>
  <c r="D193" i="37"/>
  <c r="E193" i="37"/>
  <c r="C193" i="38"/>
  <c r="G193" i="38"/>
  <c r="D193" i="38"/>
  <c r="E193" i="38"/>
  <c r="B193" i="38"/>
  <c r="F193" i="38"/>
  <c r="D193" i="34"/>
  <c r="E193" i="34"/>
  <c r="F193" i="34"/>
  <c r="B159" i="41"/>
  <c r="B193" i="34"/>
  <c r="G193" i="34"/>
  <c r="C193" i="34"/>
  <c r="M3755" i="47" l="1"/>
  <c r="M3756" i="47" s="1"/>
  <c r="D194" i="35"/>
  <c r="E194" i="35"/>
  <c r="B194" i="35"/>
  <c r="G194" i="35"/>
  <c r="C194" i="35"/>
  <c r="F194" i="35"/>
  <c r="C194" i="36"/>
  <c r="G194" i="36"/>
  <c r="B194" i="36"/>
  <c r="D194" i="36"/>
  <c r="E194" i="36"/>
  <c r="F194" i="36"/>
  <c r="D194" i="37"/>
  <c r="E194" i="37"/>
  <c r="B194" i="37"/>
  <c r="F194" i="37"/>
  <c r="C194" i="37"/>
  <c r="G194" i="37"/>
  <c r="E194" i="38"/>
  <c r="B194" i="38"/>
  <c r="F194" i="38"/>
  <c r="C194" i="38"/>
  <c r="G194" i="38"/>
  <c r="D194" i="38"/>
  <c r="B194" i="34"/>
  <c r="F194" i="34"/>
  <c r="D194" i="34"/>
  <c r="E194" i="34"/>
  <c r="G194" i="34"/>
  <c r="B160" i="41"/>
  <c r="C194" i="34"/>
  <c r="N3755" i="47" l="1"/>
  <c r="N3756" i="47"/>
  <c r="M3757" i="47"/>
  <c r="B195" i="35"/>
  <c r="F195" i="35"/>
  <c r="D195" i="35"/>
  <c r="G195" i="35"/>
  <c r="C195" i="35"/>
  <c r="E195" i="36"/>
  <c r="B195" i="36"/>
  <c r="G195" i="36"/>
  <c r="C195" i="36"/>
  <c r="D195" i="36"/>
  <c r="E195" i="35"/>
  <c r="F195" i="36"/>
  <c r="B195" i="37"/>
  <c r="F195" i="37"/>
  <c r="C195" i="37"/>
  <c r="G195" i="37"/>
  <c r="D195" i="37"/>
  <c r="E195" i="37"/>
  <c r="C195" i="38"/>
  <c r="G195" i="38"/>
  <c r="D195" i="38"/>
  <c r="E195" i="38"/>
  <c r="B195" i="38"/>
  <c r="F195" i="38"/>
  <c r="D195" i="34"/>
  <c r="C195" i="34"/>
  <c r="E195" i="34"/>
  <c r="F195" i="34"/>
  <c r="B195" i="34"/>
  <c r="G195" i="34"/>
  <c r="B161" i="41"/>
  <c r="N3757" i="47" l="1"/>
  <c r="M3758" i="47"/>
  <c r="N3758" i="47" s="1"/>
  <c r="D196" i="35"/>
  <c r="C196" i="35"/>
  <c r="F196" i="35"/>
  <c r="B196" i="35"/>
  <c r="E196" i="35"/>
  <c r="G196" i="35"/>
  <c r="C196" i="36"/>
  <c r="G196" i="36"/>
  <c r="F196" i="36"/>
  <c r="B196" i="36"/>
  <c r="D196" i="36"/>
  <c r="E196" i="36"/>
  <c r="D196" i="37"/>
  <c r="E196" i="37"/>
  <c r="B196" i="37"/>
  <c r="F196" i="37"/>
  <c r="C196" i="37"/>
  <c r="G196" i="37"/>
  <c r="E196" i="38"/>
  <c r="B196" i="38"/>
  <c r="F196" i="38"/>
  <c r="C196" i="38"/>
  <c r="G196" i="38"/>
  <c r="D196" i="38"/>
  <c r="B196" i="34"/>
  <c r="F196" i="34"/>
  <c r="C196" i="34"/>
  <c r="B162" i="41"/>
  <c r="D196" i="34"/>
  <c r="E196" i="34"/>
  <c r="G196" i="34"/>
  <c r="M3759" i="47" l="1"/>
  <c r="M3760" i="47" s="1"/>
  <c r="B197" i="35"/>
  <c r="F197" i="35"/>
  <c r="C197" i="35"/>
  <c r="E197" i="35"/>
  <c r="G197" i="35"/>
  <c r="E197" i="36"/>
  <c r="D197" i="35"/>
  <c r="F197" i="36"/>
  <c r="B197" i="36"/>
  <c r="G197" i="36"/>
  <c r="C197" i="36"/>
  <c r="D197" i="36"/>
  <c r="B197" i="37"/>
  <c r="F197" i="37"/>
  <c r="C197" i="37"/>
  <c r="G197" i="37"/>
  <c r="D197" i="37"/>
  <c r="E197" i="37"/>
  <c r="C197" i="38"/>
  <c r="G197" i="38"/>
  <c r="D197" i="38"/>
  <c r="E197" i="38"/>
  <c r="B197" i="38"/>
  <c r="F197" i="38"/>
  <c r="D197" i="34"/>
  <c r="B197" i="34"/>
  <c r="G197" i="34"/>
  <c r="C197" i="34"/>
  <c r="B163" i="41"/>
  <c r="E197" i="34"/>
  <c r="F197" i="34"/>
  <c r="N3759" i="47" l="1"/>
  <c r="N3760" i="47"/>
  <c r="M3761" i="47"/>
  <c r="D198" i="35"/>
  <c r="B198" i="35"/>
  <c r="G198" i="35"/>
  <c r="E198" i="35"/>
  <c r="C198" i="35"/>
  <c r="F198" i="35"/>
  <c r="C198" i="36"/>
  <c r="G198" i="36"/>
  <c r="E198" i="36"/>
  <c r="F198" i="36"/>
  <c r="B198" i="36"/>
  <c r="D198" i="36"/>
  <c r="D198" i="37"/>
  <c r="E198" i="37"/>
  <c r="B198" i="37"/>
  <c r="F198" i="37"/>
  <c r="C198" i="37"/>
  <c r="G198" i="37"/>
  <c r="E198" i="38"/>
  <c r="B198" i="38"/>
  <c r="F198" i="38"/>
  <c r="C198" i="38"/>
  <c r="G198" i="38"/>
  <c r="D198" i="38"/>
  <c r="B198" i="34"/>
  <c r="F198" i="34"/>
  <c r="G198" i="34"/>
  <c r="C198" i="34"/>
  <c r="D198" i="34"/>
  <c r="B164" i="41"/>
  <c r="E198" i="34"/>
  <c r="N3761" i="47" l="1"/>
  <c r="M3762" i="47"/>
  <c r="N3762" i="47" s="1"/>
  <c r="B199" i="35"/>
  <c r="F199" i="35"/>
  <c r="G199" i="35"/>
  <c r="D199" i="35"/>
  <c r="E199" i="35"/>
  <c r="E199" i="36"/>
  <c r="D199" i="36"/>
  <c r="C199" i="35"/>
  <c r="F199" i="36"/>
  <c r="B199" i="36"/>
  <c r="G199" i="36"/>
  <c r="C199" i="36"/>
  <c r="B199" i="37"/>
  <c r="F199" i="37"/>
  <c r="C199" i="37"/>
  <c r="G199" i="37"/>
  <c r="D199" i="37"/>
  <c r="E199" i="37"/>
  <c r="C199" i="38"/>
  <c r="G199" i="38"/>
  <c r="D199" i="38"/>
  <c r="E199" i="38"/>
  <c r="B199" i="38"/>
  <c r="F199" i="38"/>
  <c r="D199" i="34"/>
  <c r="F199" i="34"/>
  <c r="B199" i="34"/>
  <c r="G199" i="34"/>
  <c r="C199" i="34"/>
  <c r="E199" i="34"/>
  <c r="B165" i="41"/>
  <c r="M3763" i="47" l="1"/>
  <c r="M3764" i="47" s="1"/>
  <c r="D200" i="35"/>
  <c r="F200" i="35"/>
  <c r="C200" i="35"/>
  <c r="B200" i="35"/>
  <c r="E200" i="35"/>
  <c r="C200" i="36"/>
  <c r="G200" i="36"/>
  <c r="D200" i="36"/>
  <c r="E200" i="36"/>
  <c r="G200" i="35"/>
  <c r="F200" i="36"/>
  <c r="B200" i="36"/>
  <c r="D200" i="37"/>
  <c r="E200" i="37"/>
  <c r="B200" i="37"/>
  <c r="F200" i="37"/>
  <c r="C200" i="37"/>
  <c r="G200" i="37"/>
  <c r="E200" i="38"/>
  <c r="B200" i="38"/>
  <c r="F200" i="38"/>
  <c r="C200" i="38"/>
  <c r="G200" i="38"/>
  <c r="D200" i="38"/>
  <c r="B200" i="34"/>
  <c r="F200" i="34"/>
  <c r="E200" i="34"/>
  <c r="B166" i="41"/>
  <c r="G200" i="34"/>
  <c r="C200" i="34"/>
  <c r="D200" i="34"/>
  <c r="N3763" i="47" l="1"/>
  <c r="N3764" i="47"/>
  <c r="M3765" i="47"/>
  <c r="B201" i="35"/>
  <c r="F201" i="35"/>
  <c r="E201" i="35"/>
  <c r="C201" i="35"/>
  <c r="D201" i="35"/>
  <c r="G201" i="35"/>
  <c r="E201" i="36"/>
  <c r="C201" i="36"/>
  <c r="D201" i="36"/>
  <c r="F201" i="36"/>
  <c r="B201" i="36"/>
  <c r="G201" i="36"/>
  <c r="B201" i="37"/>
  <c r="F201" i="37"/>
  <c r="C201" i="37"/>
  <c r="G201" i="37"/>
  <c r="D201" i="37"/>
  <c r="E201" i="37"/>
  <c r="C201" i="38"/>
  <c r="G201" i="38"/>
  <c r="D201" i="38"/>
  <c r="E201" i="38"/>
  <c r="B201" i="38"/>
  <c r="F201" i="38"/>
  <c r="D201" i="34"/>
  <c r="E201" i="34"/>
  <c r="F201" i="34"/>
  <c r="B167" i="41"/>
  <c r="B201" i="34"/>
  <c r="G201" i="34"/>
  <c r="C201" i="34"/>
  <c r="N3765" i="47" l="1"/>
  <c r="M3766" i="47"/>
  <c r="N3766" i="47" s="1"/>
  <c r="D202" i="35"/>
  <c r="E202" i="35"/>
  <c r="B202" i="35"/>
  <c r="G202" i="35"/>
  <c r="C202" i="35"/>
  <c r="C202" i="36"/>
  <c r="G202" i="36"/>
  <c r="B202" i="36"/>
  <c r="D202" i="36"/>
  <c r="E202" i="36"/>
  <c r="F202" i="35"/>
  <c r="F202" i="36"/>
  <c r="D202" i="37"/>
  <c r="E202" i="37"/>
  <c r="B202" i="37"/>
  <c r="F202" i="37"/>
  <c r="C202" i="37"/>
  <c r="G202" i="37"/>
  <c r="E202" i="38"/>
  <c r="B202" i="38"/>
  <c r="F202" i="38"/>
  <c r="C202" i="38"/>
  <c r="G202" i="38"/>
  <c r="D202" i="38"/>
  <c r="B202" i="34"/>
  <c r="F202" i="34"/>
  <c r="D202" i="34"/>
  <c r="E202" i="34"/>
  <c r="G202" i="34"/>
  <c r="B168" i="41"/>
  <c r="C202" i="34"/>
  <c r="M3767" i="47" l="1"/>
  <c r="M3768" i="47" s="1"/>
  <c r="B203" i="35"/>
  <c r="F203" i="35"/>
  <c r="D203" i="35"/>
  <c r="G203" i="35"/>
  <c r="C203" i="35"/>
  <c r="E203" i="35"/>
  <c r="E203" i="36"/>
  <c r="B203" i="36"/>
  <c r="G203" i="36"/>
  <c r="C203" i="36"/>
  <c r="D203" i="36"/>
  <c r="F203" i="36"/>
  <c r="B203" i="37"/>
  <c r="F203" i="37"/>
  <c r="C203" i="37"/>
  <c r="G203" i="37"/>
  <c r="D203" i="37"/>
  <c r="E203" i="37"/>
  <c r="C203" i="38"/>
  <c r="G203" i="38"/>
  <c r="D203" i="38"/>
  <c r="E203" i="38"/>
  <c r="B203" i="38"/>
  <c r="F203" i="38"/>
  <c r="D203" i="34"/>
  <c r="C203" i="34"/>
  <c r="E203" i="34"/>
  <c r="F203" i="34"/>
  <c r="B203" i="34"/>
  <c r="G203" i="34"/>
  <c r="B169" i="41"/>
  <c r="N3767" i="47" l="1"/>
  <c r="N3768" i="47"/>
  <c r="M3769" i="47"/>
  <c r="D204" i="35"/>
  <c r="C204" i="35"/>
  <c r="F204" i="35"/>
  <c r="G204" i="35"/>
  <c r="B204" i="35"/>
  <c r="C204" i="36"/>
  <c r="G204" i="36"/>
  <c r="E204" i="35"/>
  <c r="F204" i="36"/>
  <c r="B204" i="36"/>
  <c r="D204" i="36"/>
  <c r="E204" i="36"/>
  <c r="D204" i="37"/>
  <c r="E204" i="37"/>
  <c r="B204" i="37"/>
  <c r="F204" i="37"/>
  <c r="C204" i="37"/>
  <c r="G204" i="37"/>
  <c r="E204" i="38"/>
  <c r="B204" i="38"/>
  <c r="F204" i="38"/>
  <c r="C204" i="38"/>
  <c r="G204" i="38"/>
  <c r="D204" i="38"/>
  <c r="B204" i="34"/>
  <c r="F204" i="34"/>
  <c r="C204" i="34"/>
  <c r="B170" i="41"/>
  <c r="D204" i="34"/>
  <c r="E204" i="34"/>
  <c r="G204" i="34"/>
  <c r="N3769" i="47" l="1"/>
  <c r="M3770" i="47"/>
  <c r="N3770" i="47" s="1"/>
  <c r="B205" i="35"/>
  <c r="F205" i="35"/>
  <c r="C205" i="35"/>
  <c r="E205" i="35"/>
  <c r="D205" i="35"/>
  <c r="G205" i="35"/>
  <c r="E205" i="36"/>
  <c r="F205" i="36"/>
  <c r="B205" i="36"/>
  <c r="G205" i="36"/>
  <c r="C205" i="36"/>
  <c r="D205" i="36"/>
  <c r="B205" i="37"/>
  <c r="F205" i="37"/>
  <c r="C205" i="37"/>
  <c r="G205" i="37"/>
  <c r="D205" i="37"/>
  <c r="E205" i="37"/>
  <c r="C205" i="38"/>
  <c r="G205" i="38"/>
  <c r="D205" i="38"/>
  <c r="E205" i="38"/>
  <c r="B205" i="38"/>
  <c r="F205" i="38"/>
  <c r="D205" i="34"/>
  <c r="B205" i="34"/>
  <c r="G205" i="34"/>
  <c r="C205" i="34"/>
  <c r="B171" i="41"/>
  <c r="E205" i="34"/>
  <c r="F205" i="34"/>
  <c r="M3771" i="47" l="1"/>
  <c r="M3772" i="47" s="1"/>
  <c r="D206" i="35"/>
  <c r="B206" i="35"/>
  <c r="G206" i="35"/>
  <c r="E206" i="35"/>
  <c r="F206" i="35"/>
  <c r="C206" i="36"/>
  <c r="G206" i="36"/>
  <c r="E206" i="36"/>
  <c r="C206" i="35"/>
  <c r="F206" i="36"/>
  <c r="B206" i="36"/>
  <c r="D206" i="36"/>
  <c r="D206" i="37"/>
  <c r="E206" i="37"/>
  <c r="B206" i="37"/>
  <c r="F206" i="37"/>
  <c r="C206" i="37"/>
  <c r="G206" i="37"/>
  <c r="E206" i="38"/>
  <c r="B206" i="38"/>
  <c r="F206" i="38"/>
  <c r="C206" i="38"/>
  <c r="G206" i="38"/>
  <c r="D206" i="38"/>
  <c r="B206" i="34"/>
  <c r="F206" i="34"/>
  <c r="G206" i="34"/>
  <c r="C206" i="34"/>
  <c r="D206" i="34"/>
  <c r="B172" i="41"/>
  <c r="E206" i="34"/>
  <c r="N3771" i="47" l="1"/>
  <c r="N3772" i="47"/>
  <c r="M3773" i="47"/>
  <c r="B207" i="35"/>
  <c r="F207" i="35"/>
  <c r="G207" i="35"/>
  <c r="D207" i="35"/>
  <c r="C207" i="35"/>
  <c r="E207" i="35"/>
  <c r="E207" i="36"/>
  <c r="D207" i="36"/>
  <c r="F207" i="36"/>
  <c r="B207" i="36"/>
  <c r="G207" i="36"/>
  <c r="C207" i="36"/>
  <c r="B207" i="37"/>
  <c r="F207" i="37"/>
  <c r="C207" i="37"/>
  <c r="G207" i="37"/>
  <c r="D207" i="37"/>
  <c r="E207" i="37"/>
  <c r="C207" i="38"/>
  <c r="G207" i="38"/>
  <c r="D207" i="38"/>
  <c r="E207" i="38"/>
  <c r="B207" i="38"/>
  <c r="F207" i="38"/>
  <c r="D207" i="34"/>
  <c r="F207" i="34"/>
  <c r="B207" i="34"/>
  <c r="G207" i="34"/>
  <c r="C207" i="34"/>
  <c r="E207" i="34"/>
  <c r="B173" i="41"/>
  <c r="N3773" i="47" l="1"/>
  <c r="M3774" i="47"/>
  <c r="N3774" i="47" s="1"/>
  <c r="D208" i="35"/>
  <c r="F208" i="35"/>
  <c r="C208" i="35"/>
  <c r="E208" i="35"/>
  <c r="G208" i="35"/>
  <c r="C208" i="36"/>
  <c r="G208" i="36"/>
  <c r="D208" i="36"/>
  <c r="E208" i="36"/>
  <c r="B208" i="35"/>
  <c r="F208" i="36"/>
  <c r="B208" i="36"/>
  <c r="D208" i="37"/>
  <c r="E208" i="37"/>
  <c r="B208" i="37"/>
  <c r="F208" i="37"/>
  <c r="C208" i="37"/>
  <c r="G208" i="37"/>
  <c r="E208" i="38"/>
  <c r="B208" i="38"/>
  <c r="F208" i="38"/>
  <c r="C208" i="38"/>
  <c r="G208" i="38"/>
  <c r="D208" i="38"/>
  <c r="B208" i="34"/>
  <c r="F208" i="34"/>
  <c r="E208" i="34"/>
  <c r="B174" i="41"/>
  <c r="G208" i="34"/>
  <c r="C208" i="34"/>
  <c r="D208" i="34"/>
  <c r="M3775" i="47" l="1"/>
  <c r="M3776" i="47" s="1"/>
  <c r="B209" i="35"/>
  <c r="F209" i="35"/>
  <c r="E209" i="35"/>
  <c r="C209" i="35"/>
  <c r="D209" i="35"/>
  <c r="E209" i="36"/>
  <c r="C209" i="36"/>
  <c r="D209" i="36"/>
  <c r="F209" i="36"/>
  <c r="G209" i="35"/>
  <c r="B209" i="36"/>
  <c r="G209" i="36"/>
  <c r="B209" i="37"/>
  <c r="F209" i="37"/>
  <c r="C209" i="37"/>
  <c r="G209" i="37"/>
  <c r="D209" i="37"/>
  <c r="E209" i="37"/>
  <c r="C209" i="38"/>
  <c r="G209" i="38"/>
  <c r="D209" i="38"/>
  <c r="E209" i="38"/>
  <c r="B209" i="38"/>
  <c r="F209" i="38"/>
  <c r="D209" i="34"/>
  <c r="E209" i="34"/>
  <c r="F209" i="34"/>
  <c r="B175" i="41"/>
  <c r="B209" i="34"/>
  <c r="G209" i="34"/>
  <c r="C209" i="34"/>
  <c r="N3775" i="47" l="1"/>
  <c r="N3776" i="47"/>
  <c r="M3777" i="47"/>
  <c r="D210" i="35"/>
  <c r="E210" i="35"/>
  <c r="B210" i="35"/>
  <c r="G210" i="35"/>
  <c r="C210" i="35"/>
  <c r="F210" i="35"/>
  <c r="C210" i="36"/>
  <c r="G210" i="36"/>
  <c r="B210" i="36"/>
  <c r="D210" i="36"/>
  <c r="E210" i="36"/>
  <c r="F210" i="36"/>
  <c r="D210" i="37"/>
  <c r="E210" i="37"/>
  <c r="B210" i="37"/>
  <c r="F210" i="37"/>
  <c r="C210" i="37"/>
  <c r="G210" i="37"/>
  <c r="E210" i="38"/>
  <c r="B210" i="38"/>
  <c r="F210" i="38"/>
  <c r="C210" i="38"/>
  <c r="G210" i="38"/>
  <c r="D210" i="38"/>
  <c r="B210" i="34"/>
  <c r="F210" i="34"/>
  <c r="D210" i="34"/>
  <c r="E210" i="34"/>
  <c r="G210" i="34"/>
  <c r="B176" i="41"/>
  <c r="C210" i="34"/>
  <c r="N3777" i="47" l="1"/>
  <c r="M3778" i="47"/>
  <c r="N3778" i="47" s="1"/>
  <c r="B211" i="35"/>
  <c r="F211" i="35"/>
  <c r="D211" i="35"/>
  <c r="G211" i="35"/>
  <c r="C211" i="35"/>
  <c r="E211" i="36"/>
  <c r="E211" i="35"/>
  <c r="B211" i="36"/>
  <c r="G211" i="36"/>
  <c r="C211" i="36"/>
  <c r="D211" i="36"/>
  <c r="F211" i="36"/>
  <c r="B211" i="37"/>
  <c r="F211" i="37"/>
  <c r="C211" i="37"/>
  <c r="G211" i="37"/>
  <c r="D211" i="37"/>
  <c r="E211" i="37"/>
  <c r="C211" i="38"/>
  <c r="G211" i="38"/>
  <c r="D211" i="38"/>
  <c r="E211" i="38"/>
  <c r="B211" i="38"/>
  <c r="F211" i="38"/>
  <c r="D211" i="34"/>
  <c r="C211" i="34"/>
  <c r="E211" i="34"/>
  <c r="F211" i="34"/>
  <c r="B211" i="34"/>
  <c r="G211" i="34"/>
  <c r="B177" i="41"/>
  <c r="M3779" i="47" l="1"/>
  <c r="M3780" i="47" s="1"/>
  <c r="N3779" i="47"/>
  <c r="D212" i="35"/>
  <c r="C212" i="35"/>
  <c r="F212" i="35"/>
  <c r="B212" i="35"/>
  <c r="E212" i="35"/>
  <c r="G212" i="35"/>
  <c r="C212" i="36"/>
  <c r="G212" i="36"/>
  <c r="F212" i="36"/>
  <c r="B212" i="36"/>
  <c r="D212" i="36"/>
  <c r="E212" i="36"/>
  <c r="D212" i="37"/>
  <c r="E212" i="37"/>
  <c r="B212" i="37"/>
  <c r="F212" i="37"/>
  <c r="C212" i="37"/>
  <c r="G212" i="37"/>
  <c r="E212" i="38"/>
  <c r="B212" i="38"/>
  <c r="F212" i="38"/>
  <c r="C212" i="38"/>
  <c r="G212" i="38"/>
  <c r="D212" i="38"/>
  <c r="B212" i="34"/>
  <c r="F212" i="34"/>
  <c r="C212" i="34"/>
  <c r="B178" i="41"/>
  <c r="D212" i="34"/>
  <c r="E212" i="34"/>
  <c r="G212" i="34"/>
  <c r="N3780" i="47" l="1"/>
  <c r="M3781" i="47"/>
  <c r="B213" i="35"/>
  <c r="F213" i="35"/>
  <c r="C213" i="35"/>
  <c r="E213" i="35"/>
  <c r="G213" i="35"/>
  <c r="E213" i="36"/>
  <c r="F213" i="36"/>
  <c r="D213" i="35"/>
  <c r="B213" i="36"/>
  <c r="G213" i="36"/>
  <c r="C213" i="36"/>
  <c r="D213" i="36"/>
  <c r="B213" i="37"/>
  <c r="F213" i="37"/>
  <c r="C213" i="37"/>
  <c r="G213" i="37"/>
  <c r="D213" i="37"/>
  <c r="E213" i="37"/>
  <c r="C213" i="38"/>
  <c r="G213" i="38"/>
  <c r="D213" i="38"/>
  <c r="E213" i="38"/>
  <c r="B213" i="38"/>
  <c r="F213" i="38"/>
  <c r="D213" i="34"/>
  <c r="B213" i="34"/>
  <c r="G213" i="34"/>
  <c r="C213" i="34"/>
  <c r="B179" i="41"/>
  <c r="E213" i="34"/>
  <c r="F213" i="34"/>
  <c r="N3781" i="47" l="1"/>
  <c r="M3782" i="47"/>
  <c r="M3783" i="47" s="1"/>
  <c r="M3784" i="47" s="1"/>
  <c r="N3784" i="47" s="1"/>
  <c r="B214" i="35"/>
  <c r="F214" i="35"/>
  <c r="D214" i="35"/>
  <c r="C214" i="35"/>
  <c r="E214" i="35"/>
  <c r="C214" i="36"/>
  <c r="G214" i="36"/>
  <c r="E214" i="36"/>
  <c r="F214" i="36"/>
  <c r="G214" i="35"/>
  <c r="B214" i="36"/>
  <c r="D214" i="36"/>
  <c r="D214" i="37"/>
  <c r="E214" i="37"/>
  <c r="B214" i="37"/>
  <c r="F214" i="37"/>
  <c r="C214" i="37"/>
  <c r="G214" i="37"/>
  <c r="E214" i="38"/>
  <c r="B214" i="38"/>
  <c r="F214" i="38"/>
  <c r="C214" i="38"/>
  <c r="G214" i="38"/>
  <c r="D214" i="38"/>
  <c r="E214" i="34"/>
  <c r="B214" i="34"/>
  <c r="F214" i="34"/>
  <c r="C214" i="34"/>
  <c r="G214" i="34"/>
  <c r="B180" i="41"/>
  <c r="D214" i="34"/>
  <c r="N3783" i="47" l="1"/>
  <c r="N3782" i="47"/>
  <c r="D215" i="35"/>
  <c r="B215" i="35"/>
  <c r="F215" i="35"/>
  <c r="C215" i="35"/>
  <c r="G215" i="35"/>
  <c r="E215" i="36"/>
  <c r="D215" i="36"/>
  <c r="F215" i="36"/>
  <c r="B215" i="36"/>
  <c r="G215" i="36"/>
  <c r="E215" i="35"/>
  <c r="C215" i="36"/>
  <c r="B215" i="37"/>
  <c r="F215" i="37"/>
  <c r="C215" i="37"/>
  <c r="G215" i="37"/>
  <c r="D215" i="37"/>
  <c r="E215" i="37"/>
  <c r="C215" i="38"/>
  <c r="G215" i="38"/>
  <c r="D215" i="38"/>
  <c r="E215" i="38"/>
  <c r="B215" i="38"/>
  <c r="F215" i="38"/>
  <c r="C215" i="34"/>
  <c r="G215" i="34"/>
  <c r="D215" i="34"/>
  <c r="E215" i="34"/>
  <c r="B215" i="34"/>
  <c r="F215" i="34"/>
  <c r="B181" i="41"/>
  <c r="M3785" i="47"/>
  <c r="N3785" i="47" s="1"/>
  <c r="B216" i="35" l="1"/>
  <c r="F216" i="35"/>
  <c r="D216" i="35"/>
  <c r="E216" i="35"/>
  <c r="C216" i="35"/>
  <c r="C216" i="36"/>
  <c r="G216" i="36"/>
  <c r="G216" i="35"/>
  <c r="D216" i="36"/>
  <c r="E216" i="36"/>
  <c r="B216" i="36"/>
  <c r="F216" i="36"/>
  <c r="D216" i="37"/>
  <c r="E216" i="37"/>
  <c r="B216" i="37"/>
  <c r="F216" i="37"/>
  <c r="C216" i="37"/>
  <c r="G216" i="37"/>
  <c r="E216" i="38"/>
  <c r="B216" i="38"/>
  <c r="F216" i="38"/>
  <c r="C216" i="38"/>
  <c r="G216" i="38"/>
  <c r="D216" i="38"/>
  <c r="E216" i="34"/>
  <c r="B182" i="41"/>
  <c r="B216" i="34"/>
  <c r="F216" i="34"/>
  <c r="C216" i="34"/>
  <c r="G216" i="34"/>
  <c r="D216" i="34"/>
  <c r="M3786" i="47"/>
  <c r="M3787" i="47" l="1"/>
  <c r="N3787" i="47" s="1"/>
  <c r="B217" i="35"/>
  <c r="F217" i="35"/>
  <c r="E217" i="35"/>
  <c r="C217" i="35"/>
  <c r="E217" i="36"/>
  <c r="B217" i="36"/>
  <c r="F217" i="36"/>
  <c r="D217" i="35"/>
  <c r="C217" i="36"/>
  <c r="G217" i="36"/>
  <c r="G217" i="35"/>
  <c r="D217" i="36"/>
  <c r="B217" i="37"/>
  <c r="F217" i="37"/>
  <c r="C217" i="37"/>
  <c r="G217" i="37"/>
  <c r="D217" i="37"/>
  <c r="E217" i="37"/>
  <c r="C217" i="38"/>
  <c r="G217" i="38"/>
  <c r="D217" i="38"/>
  <c r="E217" i="38"/>
  <c r="B217" i="38"/>
  <c r="F217" i="38"/>
  <c r="C217" i="34"/>
  <c r="G217" i="34"/>
  <c r="D217" i="34"/>
  <c r="B183" i="41"/>
  <c r="E217" i="34"/>
  <c r="B217" i="34"/>
  <c r="F217" i="34"/>
  <c r="N3786" i="47"/>
  <c r="D218" i="35" l="1"/>
  <c r="E218" i="35"/>
  <c r="B218" i="35"/>
  <c r="G218" i="35"/>
  <c r="C218" i="35"/>
  <c r="C218" i="36"/>
  <c r="G218" i="36"/>
  <c r="F218" i="35"/>
  <c r="D218" i="36"/>
  <c r="E218" i="36"/>
  <c r="B218" i="36"/>
  <c r="F218" i="36"/>
  <c r="D218" i="37"/>
  <c r="E218" i="37"/>
  <c r="B218" i="37"/>
  <c r="F218" i="37"/>
  <c r="C218" i="37"/>
  <c r="G218" i="37"/>
  <c r="E218" i="38"/>
  <c r="B218" i="38"/>
  <c r="F218" i="38"/>
  <c r="C218" i="38"/>
  <c r="G218" i="38"/>
  <c r="D218" i="38"/>
  <c r="E218" i="34"/>
  <c r="B218" i="34"/>
  <c r="F218" i="34"/>
  <c r="C218" i="34"/>
  <c r="G218" i="34"/>
  <c r="B184" i="41"/>
  <c r="D218" i="34"/>
  <c r="M3788" i="47"/>
  <c r="M3789" i="47" l="1"/>
  <c r="N3789" i="47" s="1"/>
  <c r="N3788" i="47"/>
  <c r="B219" i="35"/>
  <c r="F219" i="35"/>
  <c r="D219" i="35"/>
  <c r="G219" i="35"/>
  <c r="E219" i="36"/>
  <c r="B219" i="36"/>
  <c r="F219" i="36"/>
  <c r="C219" i="35"/>
  <c r="C219" i="36"/>
  <c r="G219" i="36"/>
  <c r="E219" i="35"/>
  <c r="D219" i="36"/>
  <c r="B219" i="37"/>
  <c r="F219" i="37"/>
  <c r="C219" i="37"/>
  <c r="G219" i="37"/>
  <c r="D219" i="37"/>
  <c r="E219" i="37"/>
  <c r="C219" i="38"/>
  <c r="G219" i="38"/>
  <c r="D219" i="38"/>
  <c r="E219" i="38"/>
  <c r="B219" i="38"/>
  <c r="F219" i="38"/>
  <c r="C219" i="34"/>
  <c r="G219" i="34"/>
  <c r="D219" i="34"/>
  <c r="E219" i="34"/>
  <c r="B219" i="34"/>
  <c r="F219" i="34"/>
  <c r="B185" i="41"/>
  <c r="D220" i="35" l="1"/>
  <c r="C220" i="35"/>
  <c r="F220" i="35"/>
  <c r="B220" i="35"/>
  <c r="C220" i="36"/>
  <c r="G220" i="36"/>
  <c r="E220" i="35"/>
  <c r="D220" i="36"/>
  <c r="G220" i="35"/>
  <c r="E220" i="36"/>
  <c r="B220" i="36"/>
  <c r="F220" i="36"/>
  <c r="D220" i="37"/>
  <c r="E220" i="37"/>
  <c r="B220" i="37"/>
  <c r="F220" i="37"/>
  <c r="C220" i="37"/>
  <c r="G220" i="37"/>
  <c r="E220" i="38"/>
  <c r="B220" i="38"/>
  <c r="F220" i="38"/>
  <c r="C220" i="38"/>
  <c r="G220" i="38"/>
  <c r="D220" i="38"/>
  <c r="E220" i="34"/>
  <c r="B186" i="41"/>
  <c r="B220" i="34"/>
  <c r="F220" i="34"/>
  <c r="C220" i="34"/>
  <c r="G220" i="34"/>
  <c r="D220" i="34"/>
  <c r="M3790" i="47"/>
  <c r="N3790" i="47" s="1"/>
  <c r="M3791" i="47" l="1"/>
  <c r="N3791" i="47" s="1"/>
  <c r="B221" i="35"/>
  <c r="F221" i="35"/>
  <c r="C221" i="35"/>
  <c r="E221" i="35"/>
  <c r="G221" i="35"/>
  <c r="E221" i="36"/>
  <c r="B221" i="36"/>
  <c r="F221" i="36"/>
  <c r="C221" i="36"/>
  <c r="G221" i="36"/>
  <c r="D221" i="35"/>
  <c r="D221" i="36"/>
  <c r="B221" i="37"/>
  <c r="F221" i="37"/>
  <c r="C221" i="37"/>
  <c r="G221" i="37"/>
  <c r="D221" i="37"/>
  <c r="E221" i="37"/>
  <c r="C221" i="38"/>
  <c r="G221" i="38"/>
  <c r="D221" i="38"/>
  <c r="E221" i="38"/>
  <c r="B221" i="38"/>
  <c r="F221" i="38"/>
  <c r="C221" i="34"/>
  <c r="G221" i="34"/>
  <c r="D221" i="34"/>
  <c r="B187" i="41"/>
  <c r="E221" i="34"/>
  <c r="B221" i="34"/>
  <c r="F221" i="34"/>
  <c r="D222" i="35" l="1"/>
  <c r="B222" i="35"/>
  <c r="G222" i="35"/>
  <c r="E222" i="35"/>
  <c r="C222" i="36"/>
  <c r="G222" i="36"/>
  <c r="C222" i="35"/>
  <c r="D222" i="36"/>
  <c r="F222" i="35"/>
  <c r="E222" i="36"/>
  <c r="B222" i="36"/>
  <c r="F222" i="36"/>
  <c r="D222" i="37"/>
  <c r="E222" i="37"/>
  <c r="B222" i="37"/>
  <c r="F222" i="37"/>
  <c r="C222" i="37"/>
  <c r="G222" i="37"/>
  <c r="E222" i="38"/>
  <c r="B222" i="38"/>
  <c r="F222" i="38"/>
  <c r="C222" i="38"/>
  <c r="G222" i="38"/>
  <c r="D222" i="38"/>
  <c r="E222" i="34"/>
  <c r="B222" i="34"/>
  <c r="F222" i="34"/>
  <c r="C222" i="34"/>
  <c r="G222" i="34"/>
  <c r="B188" i="41"/>
  <c r="D222" i="34"/>
  <c r="M3792" i="47"/>
  <c r="M3793" i="47" l="1"/>
  <c r="N3793" i="47"/>
  <c r="B223" i="35"/>
  <c r="F223" i="35"/>
  <c r="G223" i="35"/>
  <c r="D223" i="35"/>
  <c r="E223" i="35"/>
  <c r="E223" i="36"/>
  <c r="B223" i="36"/>
  <c r="F223" i="36"/>
  <c r="C223" i="36"/>
  <c r="G223" i="36"/>
  <c r="C223" i="35"/>
  <c r="D223" i="36"/>
  <c r="B223" i="37"/>
  <c r="F223" i="37"/>
  <c r="C223" i="37"/>
  <c r="G223" i="37"/>
  <c r="D223" i="37"/>
  <c r="E223" i="37"/>
  <c r="C223" i="38"/>
  <c r="G223" i="38"/>
  <c r="D223" i="38"/>
  <c r="E223" i="38"/>
  <c r="B223" i="38"/>
  <c r="F223" i="38"/>
  <c r="C223" i="34"/>
  <c r="G223" i="34"/>
  <c r="D223" i="34"/>
  <c r="E223" i="34"/>
  <c r="B223" i="34"/>
  <c r="F223" i="34"/>
  <c r="B189" i="41"/>
  <c r="N3792" i="47"/>
  <c r="D224" i="35" l="1"/>
  <c r="F224" i="35"/>
  <c r="C224" i="35"/>
  <c r="C224" i="36"/>
  <c r="G224" i="36"/>
  <c r="B224" i="35"/>
  <c r="D224" i="36"/>
  <c r="E224" i="35"/>
  <c r="E224" i="36"/>
  <c r="G224" i="35"/>
  <c r="B224" i="36"/>
  <c r="F224" i="36"/>
  <c r="D224" i="37"/>
  <c r="E224" i="37"/>
  <c r="B224" i="37"/>
  <c r="F224" i="37"/>
  <c r="C224" i="37"/>
  <c r="G224" i="37"/>
  <c r="E224" i="38"/>
  <c r="B224" i="38"/>
  <c r="F224" i="38"/>
  <c r="C224" i="38"/>
  <c r="G224" i="38"/>
  <c r="D224" i="38"/>
  <c r="E224" i="34"/>
  <c r="B190" i="41"/>
  <c r="B224" i="34"/>
  <c r="F224" i="34"/>
  <c r="C224" i="34"/>
  <c r="G224" i="34"/>
  <c r="D224" i="34"/>
  <c r="M3794" i="47"/>
  <c r="M3795" i="47" l="1"/>
  <c r="N3795" i="47" s="1"/>
  <c r="N3794" i="47"/>
  <c r="B225" i="35"/>
  <c r="F225" i="35"/>
  <c r="E225" i="35"/>
  <c r="C225" i="35"/>
  <c r="D225" i="35"/>
  <c r="E225" i="36"/>
  <c r="G225" i="35"/>
  <c r="B225" i="36"/>
  <c r="F225" i="36"/>
  <c r="C225" i="36"/>
  <c r="G225" i="36"/>
  <c r="D225" i="36"/>
  <c r="B225" i="37"/>
  <c r="F225" i="37"/>
  <c r="D225" i="37"/>
  <c r="E225" i="37"/>
  <c r="G225" i="37"/>
  <c r="C225" i="38"/>
  <c r="G225" i="38"/>
  <c r="D225" i="38"/>
  <c r="E225" i="38"/>
  <c r="C225" i="37"/>
  <c r="B225" i="38"/>
  <c r="F225" i="38"/>
  <c r="C225" i="34"/>
  <c r="G225" i="34"/>
  <c r="D225" i="34"/>
  <c r="B191" i="41"/>
  <c r="E225" i="34"/>
  <c r="B225" i="34"/>
  <c r="F225" i="34"/>
  <c r="D226" i="35" l="1"/>
  <c r="E226" i="35"/>
  <c r="B226" i="35"/>
  <c r="G226" i="35"/>
  <c r="C226" i="36"/>
  <c r="G226" i="36"/>
  <c r="D226" i="36"/>
  <c r="C226" i="35"/>
  <c r="E226" i="36"/>
  <c r="F226" i="35"/>
  <c r="B226" i="36"/>
  <c r="F226" i="36"/>
  <c r="D226" i="37"/>
  <c r="B226" i="37"/>
  <c r="F226" i="37"/>
  <c r="C226" i="37"/>
  <c r="G226" i="37"/>
  <c r="E226" i="38"/>
  <c r="E226" i="37"/>
  <c r="B226" i="38"/>
  <c r="F226" i="38"/>
  <c r="C226" i="38"/>
  <c r="G226" i="38"/>
  <c r="D226" i="38"/>
  <c r="E226" i="34"/>
  <c r="B226" i="34"/>
  <c r="F226" i="34"/>
  <c r="C226" i="34"/>
  <c r="G226" i="34"/>
  <c r="B192" i="41"/>
  <c r="D226" i="34"/>
  <c r="M3796" i="47"/>
  <c r="M3797" i="47" l="1"/>
  <c r="N3797" i="47" s="1"/>
  <c r="B227" i="35"/>
  <c r="F227" i="35"/>
  <c r="D227" i="35"/>
  <c r="G227" i="35"/>
  <c r="C227" i="35"/>
  <c r="E227" i="36"/>
  <c r="E227" i="35"/>
  <c r="B227" i="36"/>
  <c r="F227" i="36"/>
  <c r="C227" i="36"/>
  <c r="G227" i="36"/>
  <c r="D227" i="36"/>
  <c r="B227" i="37"/>
  <c r="F227" i="37"/>
  <c r="D227" i="37"/>
  <c r="E227" i="37"/>
  <c r="C227" i="38"/>
  <c r="G227" i="38"/>
  <c r="D227" i="38"/>
  <c r="C227" i="37"/>
  <c r="E227" i="38"/>
  <c r="G227" i="37"/>
  <c r="B227" i="38"/>
  <c r="F227" i="38"/>
  <c r="C227" i="34"/>
  <c r="G227" i="34"/>
  <c r="D227" i="34"/>
  <c r="E227" i="34"/>
  <c r="B227" i="34"/>
  <c r="F227" i="34"/>
  <c r="B193" i="41"/>
  <c r="N3796" i="47"/>
  <c r="C228" i="35" l="1"/>
  <c r="G228" i="35"/>
  <c r="E228" i="35"/>
  <c r="F228" i="35"/>
  <c r="C228" i="36"/>
  <c r="G228" i="36"/>
  <c r="D228" i="36"/>
  <c r="B228" i="35"/>
  <c r="E228" i="36"/>
  <c r="D228" i="35"/>
  <c r="B228" i="36"/>
  <c r="F228" i="36"/>
  <c r="D228" i="37"/>
  <c r="B228" i="37"/>
  <c r="F228" i="37"/>
  <c r="C228" i="37"/>
  <c r="G228" i="37"/>
  <c r="E228" i="37"/>
  <c r="E228" i="38"/>
  <c r="B228" i="38"/>
  <c r="F228" i="38"/>
  <c r="C228" i="38"/>
  <c r="G228" i="38"/>
  <c r="D228" i="38"/>
  <c r="E228" i="34"/>
  <c r="B194" i="41"/>
  <c r="B228" i="34"/>
  <c r="F228" i="34"/>
  <c r="C228" i="34"/>
  <c r="G228" i="34"/>
  <c r="D228" i="34"/>
  <c r="M3798" i="47"/>
  <c r="M3799" i="47" l="1"/>
  <c r="N3799" i="47" s="1"/>
  <c r="E229" i="35"/>
  <c r="C229" i="35"/>
  <c r="G229" i="35"/>
  <c r="E229" i="36"/>
  <c r="B229" i="35"/>
  <c r="B229" i="36"/>
  <c r="F229" i="36"/>
  <c r="D229" i="35"/>
  <c r="C229" i="36"/>
  <c r="G229" i="36"/>
  <c r="F229" i="35"/>
  <c r="D229" i="36"/>
  <c r="B229" i="37"/>
  <c r="F229" i="37"/>
  <c r="D229" i="37"/>
  <c r="E229" i="37"/>
  <c r="C229" i="38"/>
  <c r="G229" i="38"/>
  <c r="C229" i="37"/>
  <c r="D229" i="38"/>
  <c r="G229" i="37"/>
  <c r="E229" i="38"/>
  <c r="B229" i="38"/>
  <c r="F229" i="38"/>
  <c r="C229" i="34"/>
  <c r="G229" i="34"/>
  <c r="D229" i="34"/>
  <c r="B195" i="41"/>
  <c r="E229" i="34"/>
  <c r="B229" i="34"/>
  <c r="F229" i="34"/>
  <c r="N3798" i="47"/>
  <c r="C230" i="35" l="1"/>
  <c r="G230" i="35"/>
  <c r="E230" i="35"/>
  <c r="B230" i="35"/>
  <c r="C230" i="36"/>
  <c r="G230" i="36"/>
  <c r="D230" i="35"/>
  <c r="D230" i="36"/>
  <c r="F230" i="35"/>
  <c r="E230" i="36"/>
  <c r="B230" i="36"/>
  <c r="F230" i="36"/>
  <c r="D230" i="37"/>
  <c r="B230" i="37"/>
  <c r="F230" i="37"/>
  <c r="C230" i="37"/>
  <c r="G230" i="37"/>
  <c r="E230" i="38"/>
  <c r="B230" i="38"/>
  <c r="F230" i="38"/>
  <c r="C230" i="38"/>
  <c r="G230" i="38"/>
  <c r="E230" i="37"/>
  <c r="D230" i="38"/>
  <c r="E230" i="34"/>
  <c r="B230" i="34"/>
  <c r="F230" i="34"/>
  <c r="C230" i="34"/>
  <c r="G230" i="34"/>
  <c r="B196" i="41"/>
  <c r="D230" i="34"/>
  <c r="M3800" i="47"/>
  <c r="N3800" i="47" s="1"/>
  <c r="M3801" i="47" l="1"/>
  <c r="N3801" i="47" s="1"/>
  <c r="E231" i="35"/>
  <c r="C231" i="35"/>
  <c r="G231" i="35"/>
  <c r="D231" i="35"/>
  <c r="E231" i="36"/>
  <c r="F231" i="35"/>
  <c r="B231" i="36"/>
  <c r="F231" i="36"/>
  <c r="C231" i="36"/>
  <c r="G231" i="36"/>
  <c r="B231" i="35"/>
  <c r="D231" i="36"/>
  <c r="B231" i="37"/>
  <c r="F231" i="37"/>
  <c r="D231" i="37"/>
  <c r="E231" i="37"/>
  <c r="C231" i="37"/>
  <c r="C231" i="38"/>
  <c r="G231" i="38"/>
  <c r="G231" i="37"/>
  <c r="D231" i="38"/>
  <c r="E231" i="38"/>
  <c r="B231" i="38"/>
  <c r="F231" i="38"/>
  <c r="C231" i="34"/>
  <c r="G231" i="34"/>
  <c r="D231" i="34"/>
  <c r="E231" i="34"/>
  <c r="B231" i="34"/>
  <c r="F231" i="34"/>
  <c r="B197" i="41"/>
  <c r="C232" i="35" l="1"/>
  <c r="G232" i="35"/>
  <c r="E232" i="35"/>
  <c r="F232" i="35"/>
  <c r="C232" i="36"/>
  <c r="G232" i="36"/>
  <c r="D232" i="36"/>
  <c r="B232" i="35"/>
  <c r="D232" i="35"/>
  <c r="B232" i="36"/>
  <c r="F232" i="36"/>
  <c r="D232" i="37"/>
  <c r="E232" i="36"/>
  <c r="B232" i="37"/>
  <c r="F232" i="37"/>
  <c r="C232" i="37"/>
  <c r="G232" i="37"/>
  <c r="E232" i="38"/>
  <c r="B232" i="38"/>
  <c r="F232" i="38"/>
  <c r="E232" i="37"/>
  <c r="C232" i="38"/>
  <c r="G232" i="38"/>
  <c r="D232" i="38"/>
  <c r="E232" i="34"/>
  <c r="B198" i="41"/>
  <c r="B232" i="34"/>
  <c r="F232" i="34"/>
  <c r="C232" i="34"/>
  <c r="G232" i="34"/>
  <c r="D232" i="34"/>
  <c r="M3802" i="47"/>
  <c r="M3803" i="47" l="1"/>
  <c r="N3803" i="47"/>
  <c r="E233" i="35"/>
  <c r="C233" i="35"/>
  <c r="G233" i="35"/>
  <c r="E233" i="36"/>
  <c r="B233" i="35"/>
  <c r="B233" i="36"/>
  <c r="F233" i="36"/>
  <c r="D233" i="35"/>
  <c r="F233" i="35"/>
  <c r="D233" i="36"/>
  <c r="B233" i="37"/>
  <c r="F233" i="37"/>
  <c r="C233" i="36"/>
  <c r="D233" i="37"/>
  <c r="G233" i="36"/>
  <c r="E233" i="37"/>
  <c r="G233" i="37"/>
  <c r="C233" i="38"/>
  <c r="G233" i="38"/>
  <c r="D233" i="38"/>
  <c r="E233" i="38"/>
  <c r="C233" i="37"/>
  <c r="B233" i="38"/>
  <c r="F233" i="38"/>
  <c r="C233" i="34"/>
  <c r="G233" i="34"/>
  <c r="D233" i="34"/>
  <c r="B199" i="41"/>
  <c r="E233" i="34"/>
  <c r="B233" i="34"/>
  <c r="F233" i="34"/>
  <c r="N3802" i="47"/>
  <c r="C234" i="35" l="1"/>
  <c r="G234" i="35"/>
  <c r="E234" i="35"/>
  <c r="B234" i="35"/>
  <c r="C234" i="36"/>
  <c r="G234" i="36"/>
  <c r="D234" i="35"/>
  <c r="D234" i="36"/>
  <c r="F234" i="35"/>
  <c r="B234" i="36"/>
  <c r="F234" i="36"/>
  <c r="E234" i="36"/>
  <c r="D234" i="37"/>
  <c r="B234" i="37"/>
  <c r="F234" i="37"/>
  <c r="C234" i="37"/>
  <c r="G234" i="37"/>
  <c r="E234" i="38"/>
  <c r="E234" i="37"/>
  <c r="B234" i="38"/>
  <c r="F234" i="38"/>
  <c r="C234" i="38"/>
  <c r="G234" i="38"/>
  <c r="D234" i="38"/>
  <c r="E234" i="34"/>
  <c r="B234" i="34"/>
  <c r="F234" i="34"/>
  <c r="C234" i="34"/>
  <c r="G234" i="34"/>
  <c r="B200" i="41"/>
  <c r="D234" i="34"/>
  <c r="M3804" i="47"/>
  <c r="N3804" i="47" s="1"/>
  <c r="M3805" i="47" l="1"/>
  <c r="N3805" i="47"/>
  <c r="E235" i="35"/>
  <c r="C235" i="35"/>
  <c r="G235" i="35"/>
  <c r="D235" i="35"/>
  <c r="E235" i="36"/>
  <c r="F235" i="35"/>
  <c r="B235" i="36"/>
  <c r="F235" i="36"/>
  <c r="B235" i="35"/>
  <c r="D235" i="36"/>
  <c r="B235" i="37"/>
  <c r="F235" i="37"/>
  <c r="C235" i="36"/>
  <c r="G235" i="36"/>
  <c r="D235" i="37"/>
  <c r="E235" i="37"/>
  <c r="C235" i="38"/>
  <c r="G235" i="38"/>
  <c r="D235" i="38"/>
  <c r="C235" i="37"/>
  <c r="E235" i="38"/>
  <c r="G235" i="37"/>
  <c r="B235" i="38"/>
  <c r="F235" i="38"/>
  <c r="C235" i="34"/>
  <c r="G235" i="34"/>
  <c r="D235" i="34"/>
  <c r="E235" i="34"/>
  <c r="B235" i="34"/>
  <c r="F235" i="34"/>
  <c r="B201" i="41"/>
  <c r="C236" i="35" l="1"/>
  <c r="G236" i="35"/>
  <c r="E236" i="35"/>
  <c r="F236" i="35"/>
  <c r="C236" i="36"/>
  <c r="G236" i="36"/>
  <c r="D236" i="36"/>
  <c r="B236" i="35"/>
  <c r="D236" i="35"/>
  <c r="B236" i="36"/>
  <c r="F236" i="36"/>
  <c r="D236" i="37"/>
  <c r="B236" i="37"/>
  <c r="F236" i="37"/>
  <c r="E236" i="36"/>
  <c r="C236" i="37"/>
  <c r="G236" i="37"/>
  <c r="E236" i="37"/>
  <c r="E236" i="38"/>
  <c r="B236" i="38"/>
  <c r="F236" i="38"/>
  <c r="C236" i="38"/>
  <c r="G236" i="38"/>
  <c r="D236" i="38"/>
  <c r="E236" i="34"/>
  <c r="B202" i="41"/>
  <c r="B236" i="34"/>
  <c r="F236" i="34"/>
  <c r="C236" i="34"/>
  <c r="G236" i="34"/>
  <c r="D236" i="34"/>
  <c r="M3806" i="47"/>
  <c r="M3807" i="47" l="1"/>
  <c r="N3807" i="47"/>
  <c r="N3806" i="47"/>
  <c r="E237" i="35"/>
  <c r="C237" i="35"/>
  <c r="G237" i="35"/>
  <c r="E237" i="36"/>
  <c r="B237" i="35"/>
  <c r="B237" i="36"/>
  <c r="F237" i="36"/>
  <c r="D237" i="35"/>
  <c r="F237" i="35"/>
  <c r="D237" i="36"/>
  <c r="C237" i="36"/>
  <c r="B237" i="37"/>
  <c r="F237" i="37"/>
  <c r="G237" i="36"/>
  <c r="D237" i="37"/>
  <c r="E237" i="37"/>
  <c r="C237" i="38"/>
  <c r="G237" i="38"/>
  <c r="C237" i="37"/>
  <c r="D237" i="38"/>
  <c r="G237" i="37"/>
  <c r="E237" i="38"/>
  <c r="B237" i="38"/>
  <c r="F237" i="38"/>
  <c r="C237" i="34"/>
  <c r="G237" i="34"/>
  <c r="D237" i="34"/>
  <c r="B203" i="41"/>
  <c r="E237" i="34"/>
  <c r="B237" i="34"/>
  <c r="F237" i="34"/>
  <c r="C238" i="35" l="1"/>
  <c r="G238" i="35"/>
  <c r="E238" i="35"/>
  <c r="B238" i="35"/>
  <c r="C238" i="36"/>
  <c r="G238" i="36"/>
  <c r="D238" i="35"/>
  <c r="D238" i="36"/>
  <c r="F238" i="35"/>
  <c r="B238" i="36"/>
  <c r="F238" i="36"/>
  <c r="D238" i="37"/>
  <c r="E238" i="36"/>
  <c r="B238" i="37"/>
  <c r="F238" i="37"/>
  <c r="C238" i="37"/>
  <c r="G238" i="37"/>
  <c r="E238" i="38"/>
  <c r="B238" i="38"/>
  <c r="F238" i="38"/>
  <c r="C238" i="38"/>
  <c r="G238" i="38"/>
  <c r="E238" i="37"/>
  <c r="D238" i="38"/>
  <c r="E238" i="34"/>
  <c r="B238" i="34"/>
  <c r="F238" i="34"/>
  <c r="C238" i="34"/>
  <c r="G238" i="34"/>
  <c r="D238" i="34"/>
  <c r="M3808" i="47"/>
  <c r="N3808" i="47" s="1"/>
  <c r="M3809" i="47" l="1"/>
  <c r="N3809" i="47" s="1"/>
  <c r="M3810" i="47" l="1"/>
  <c r="N3810" i="47"/>
  <c r="M3811" i="47" l="1"/>
  <c r="N3811" i="47" s="1"/>
  <c r="M3812" i="47" l="1"/>
  <c r="N3812" i="47" s="1"/>
  <c r="M3813" i="47" l="1"/>
  <c r="N3813" i="47"/>
  <c r="M3814" i="47" l="1"/>
  <c r="N3814" i="47" s="1"/>
  <c r="M3815" i="47" l="1"/>
  <c r="N3815" i="47" s="1"/>
  <c r="M3816" i="47" l="1"/>
  <c r="N3816" i="47" s="1"/>
  <c r="M3817" i="47" l="1"/>
  <c r="N3817" i="47" s="1"/>
  <c r="M3818" i="47" l="1"/>
  <c r="N3818" i="47" s="1"/>
  <c r="M3819" i="47" l="1"/>
  <c r="N3819" i="47" s="1"/>
  <c r="M3820" i="47" l="1"/>
  <c r="N3820" i="47" s="1"/>
  <c r="M3821" i="47" l="1"/>
  <c r="N3821" i="47" s="1"/>
  <c r="M3822" i="47" l="1"/>
  <c r="N3822" i="47" s="1"/>
  <c r="M3823" i="47" l="1"/>
  <c r="N3823" i="47" s="1"/>
  <c r="M3824" i="47" l="1"/>
  <c r="N3824" i="47" s="1"/>
  <c r="M3825" i="47" l="1"/>
  <c r="N3825" i="47" s="1"/>
  <c r="M3826" i="47" l="1"/>
  <c r="N3826" i="47" s="1"/>
  <c r="M3827" i="47" l="1"/>
  <c r="N3827" i="47"/>
  <c r="M3828" i="47" l="1"/>
  <c r="N3828" i="47" s="1"/>
  <c r="M3829" i="47" l="1"/>
  <c r="N3829" i="47" s="1"/>
  <c r="M3830" i="47" l="1"/>
  <c r="N3830" i="47" s="1"/>
  <c r="M3831" i="47" l="1"/>
  <c r="N3831" i="47" s="1"/>
  <c r="M3832" i="47" l="1"/>
  <c r="N3832" i="47" s="1"/>
  <c r="M3833" i="47" l="1"/>
  <c r="N3833" i="47" s="1"/>
  <c r="M3834" i="47" l="1"/>
  <c r="N3834" i="47" s="1"/>
  <c r="M3835" i="47" l="1"/>
  <c r="N3835" i="47" s="1"/>
  <c r="M3836" i="47" l="1"/>
  <c r="N3836" i="47" s="1"/>
  <c r="M3837" i="47" l="1"/>
  <c r="N3837" i="47"/>
  <c r="M3838" i="47" l="1"/>
  <c r="N3838" i="47" s="1"/>
  <c r="M3839" i="47" l="1"/>
  <c r="N3839" i="47" s="1"/>
  <c r="M3840" i="47" l="1"/>
  <c r="N3840" i="47" s="1"/>
  <c r="M3841" i="47" l="1"/>
  <c r="N3841" i="47" s="1"/>
  <c r="M3842" i="47" l="1"/>
  <c r="N3842" i="47" s="1"/>
  <c r="M3843" i="47" l="1"/>
  <c r="N3843" i="47" s="1"/>
  <c r="M3844" i="47" l="1"/>
  <c r="N3844" i="47" s="1"/>
  <c r="M3845" i="47" l="1"/>
  <c r="N3845" i="47" s="1"/>
  <c r="M3846" i="47" l="1"/>
  <c r="N3846" i="47" s="1"/>
  <c r="M3847" i="47" l="1"/>
  <c r="N3847" i="47" s="1"/>
  <c r="M3848" i="47" l="1"/>
  <c r="N3848" i="47" s="1"/>
  <c r="M3849" i="47" l="1"/>
  <c r="N3849" i="47" s="1"/>
  <c r="M3850" i="47" l="1"/>
  <c r="N3850" i="47" s="1"/>
  <c r="M3851" i="47" l="1"/>
  <c r="N3851" i="47" s="1"/>
  <c r="M3852" i="47" l="1"/>
  <c r="N3852" i="47" s="1"/>
  <c r="M3853" i="47" l="1"/>
  <c r="N3853" i="47" s="1"/>
  <c r="M3854" i="47" l="1"/>
  <c r="N3854" i="47" s="1"/>
  <c r="M3855" i="47" l="1"/>
  <c r="N3855" i="47" s="1"/>
  <c r="M3856" i="47" l="1"/>
  <c r="N3856" i="47" s="1"/>
  <c r="M3857" i="47" l="1"/>
  <c r="N3857" i="47" s="1"/>
  <c r="M3858" i="47" l="1"/>
  <c r="N3858" i="47" s="1"/>
  <c r="M3859" i="47" l="1"/>
  <c r="N3859" i="47" s="1"/>
  <c r="M3860" i="47" l="1"/>
  <c r="N3860" i="47" s="1"/>
  <c r="M3861" i="47" l="1"/>
  <c r="N3861" i="47" s="1"/>
  <c r="M3862" i="47" l="1"/>
  <c r="N3862" i="47" s="1"/>
  <c r="M3863" i="47" l="1"/>
  <c r="N3863" i="47" s="1"/>
  <c r="M3864" i="47" l="1"/>
  <c r="N3864" i="47" s="1"/>
  <c r="M3865" i="47" l="1"/>
  <c r="N3865" i="47" s="1"/>
  <c r="M3866" i="47" l="1"/>
  <c r="N3866" i="47" s="1"/>
  <c r="M3867" i="47" l="1"/>
  <c r="N3867" i="47" s="1"/>
  <c r="M3868" i="47" l="1"/>
  <c r="N3868" i="47" s="1"/>
  <c r="M3869" i="47" l="1"/>
  <c r="N3869" i="47" s="1"/>
  <c r="M3870" i="47" l="1"/>
  <c r="N3870" i="47" s="1"/>
  <c r="M3871" i="47" l="1"/>
  <c r="N3871" i="47" s="1"/>
  <c r="M3872" i="47" l="1"/>
  <c r="N3872" i="47" s="1"/>
  <c r="M3873" i="47" l="1"/>
  <c r="N3873" i="47" s="1"/>
  <c r="M3874" i="47" l="1"/>
  <c r="N3874" i="47" s="1"/>
  <c r="M3875" i="47" l="1"/>
  <c r="N3875" i="47" s="1"/>
  <c r="M3876" i="47" l="1"/>
  <c r="N3876" i="47" s="1"/>
  <c r="M3877" i="47" l="1"/>
  <c r="N3877" i="47" s="1"/>
  <c r="M3878" i="47" l="1"/>
  <c r="N3878" i="47" s="1"/>
  <c r="M3879" i="47" l="1"/>
  <c r="N3879" i="47" s="1"/>
  <c r="M3880" i="47" l="1"/>
  <c r="N3880" i="47" s="1"/>
  <c r="M3881" i="47" l="1"/>
  <c r="N3881" i="47" s="1"/>
  <c r="M3882" i="47" l="1"/>
  <c r="N3882" i="47" s="1"/>
  <c r="M3883" i="47" l="1"/>
  <c r="N3883" i="47" s="1"/>
  <c r="M3884" i="47" l="1"/>
  <c r="N3884" i="47" s="1"/>
  <c r="M3885" i="47" l="1"/>
  <c r="N3885" i="47" s="1"/>
  <c r="M3886" i="47" l="1"/>
  <c r="N3724" i="47" s="1"/>
  <c r="N3886" i="47" l="1"/>
  <c r="B3894" i="47"/>
  <c r="C3930" i="47" s="1"/>
  <c r="C3978" i="47" s="1"/>
  <c r="C4029" i="47" s="1"/>
  <c r="C4075" i="47" s="1"/>
  <c r="D3931" i="47"/>
  <c r="G3946" i="47"/>
  <c r="B3929" i="47"/>
  <c r="B3977" i="47" s="1"/>
  <c r="B4028" i="47" s="1"/>
  <c r="B4074" i="47" s="1"/>
  <c r="C3933" i="47"/>
  <c r="C3981" i="47" s="1"/>
  <c r="D3938" i="47"/>
  <c r="D3986" i="47" s="1"/>
  <c r="D4037" i="47" s="1"/>
  <c r="D4083" i="47" s="1"/>
  <c r="C3932" i="47"/>
  <c r="F3930" i="47"/>
  <c r="D3933" i="47"/>
  <c r="F3933" i="47"/>
  <c r="G3932" i="47"/>
  <c r="C3942" i="47"/>
  <c r="C3990" i="47" s="1"/>
  <c r="E3934" i="47"/>
  <c r="C3929" i="47"/>
  <c r="D3937" i="47"/>
  <c r="C3945" i="47"/>
  <c r="G3931" i="47"/>
  <c r="F3935" i="47"/>
  <c r="F3939" i="47"/>
  <c r="C3934" i="47"/>
  <c r="F3931" i="47"/>
  <c r="D3934" i="47"/>
  <c r="F3940" i="47"/>
  <c r="F3988" i="47" s="1"/>
  <c r="B3937" i="47"/>
  <c r="B3985" i="47" s="1"/>
  <c r="D3940" i="47"/>
  <c r="D3988" i="47" s="1"/>
  <c r="D4039" i="47" s="1"/>
  <c r="D4085" i="47" s="1"/>
  <c r="E3937" i="47"/>
  <c r="D3947" i="47"/>
  <c r="D3995" i="47" s="1"/>
  <c r="E3935" i="47"/>
  <c r="B3935" i="47"/>
  <c r="B3983" i="47" s="1"/>
  <c r="B4034" i="47" s="1"/>
  <c r="B4080" i="47" s="1"/>
  <c r="F3942" i="47"/>
  <c r="F3990" i="47" s="1"/>
  <c r="C3937" i="47"/>
  <c r="C3985" i="47" s="1"/>
  <c r="C4036" i="47" s="1"/>
  <c r="C4082" i="47" s="1"/>
  <c r="C4209" i="47" s="1"/>
  <c r="D3942" i="47"/>
  <c r="D3990" i="47" s="1"/>
  <c r="D4041" i="47" s="1"/>
  <c r="D4087" i="47" s="1"/>
  <c r="C3936" i="47"/>
  <c r="C3984" i="47" s="1"/>
  <c r="C4035" i="47" s="1"/>
  <c r="C4081" i="47" s="1"/>
  <c r="C4207" i="47" s="1"/>
  <c r="B3947" i="47"/>
  <c r="B3995" i="47" s="1"/>
  <c r="B3946" i="47"/>
  <c r="B3994" i="47" s="1"/>
  <c r="B3945" i="47"/>
  <c r="B3993" i="47" s="1"/>
  <c r="E3939" i="47"/>
  <c r="E3936" i="47"/>
  <c r="E3940" i="47"/>
  <c r="C3938" i="47"/>
  <c r="C3986" i="47" s="1"/>
  <c r="C4037" i="47" s="1"/>
  <c r="C4083" i="47" s="1"/>
  <c r="D3941" i="47"/>
  <c r="D3989" i="47" s="1"/>
  <c r="D4040" i="47" s="1"/>
  <c r="D4086" i="47" s="1"/>
  <c r="E3941" i="47"/>
  <c r="B3943" i="47"/>
  <c r="B3991" i="47" s="1"/>
  <c r="C3940" i="47"/>
  <c r="C3988" i="47" s="1"/>
  <c r="E3942" i="47"/>
  <c r="B3940" i="47"/>
  <c r="B3988" i="47" s="1"/>
  <c r="B4039" i="47" s="1"/>
  <c r="B4085" i="47" s="1"/>
  <c r="E3933" i="47"/>
  <c r="E3929" i="47"/>
  <c r="B3942" i="47"/>
  <c r="B3990" i="47" s="1"/>
  <c r="D3939" i="47"/>
  <c r="D3987" i="47" s="1"/>
  <c r="D4038" i="47" s="1"/>
  <c r="D4084" i="47" s="1"/>
  <c r="B3932" i="47"/>
  <c r="B3980" i="47" s="1"/>
  <c r="B4031" i="47" s="1"/>
  <c r="B4077" i="47" s="1"/>
  <c r="F3941" i="47"/>
  <c r="F3989" i="47" s="1"/>
  <c r="C3947" i="47"/>
  <c r="C3995" i="47" s="1"/>
  <c r="E3938" i="47"/>
  <c r="E3932" i="47"/>
  <c r="B3944" i="47"/>
  <c r="B3992" i="47" s="1"/>
  <c r="E3930" i="47" l="1"/>
  <c r="F3938" i="47"/>
  <c r="G3947" i="47"/>
  <c r="E3947" i="47"/>
  <c r="F3937" i="47"/>
  <c r="G3930" i="47"/>
  <c r="B3933" i="47"/>
  <c r="B3981" i="47" s="1"/>
  <c r="G3945" i="47"/>
  <c r="G3934" i="47"/>
  <c r="B3938" i="47"/>
  <c r="B3986" i="47" s="1"/>
  <c r="B4037" i="47" s="1"/>
  <c r="B4083" i="47" s="1"/>
  <c r="G3937" i="47"/>
  <c r="F3934" i="47"/>
  <c r="H3934" i="47" s="1"/>
  <c r="D3945" i="47"/>
  <c r="G3933" i="47"/>
  <c r="F3946" i="47"/>
  <c r="G3938" i="47"/>
  <c r="E3945" i="47"/>
  <c r="G3940" i="47"/>
  <c r="G3988" i="47" s="1"/>
  <c r="F3944" i="47"/>
  <c r="D3946" i="47"/>
  <c r="E3944" i="47"/>
  <c r="B3930" i="47"/>
  <c r="B3978" i="47" s="1"/>
  <c r="G3943" i="47"/>
  <c r="C3943" i="47"/>
  <c r="D3944" i="47"/>
  <c r="D3943" i="47"/>
  <c r="E3946" i="47"/>
  <c r="E3943" i="47"/>
  <c r="H3943" i="47" s="1"/>
  <c r="C3935" i="47"/>
  <c r="C3983" i="47" s="1"/>
  <c r="C4034" i="47" s="1"/>
  <c r="C4080" i="47" s="1"/>
  <c r="C3944" i="47"/>
  <c r="F3936" i="47"/>
  <c r="C3946" i="47"/>
  <c r="H3946" i="47" s="1"/>
  <c r="B3939" i="47"/>
  <c r="B3987" i="47" s="1"/>
  <c r="G3935" i="47"/>
  <c r="B3934" i="47"/>
  <c r="B3982" i="47" s="1"/>
  <c r="B3936" i="47"/>
  <c r="B3984" i="47" s="1"/>
  <c r="B4035" i="47" s="1"/>
  <c r="B4081" i="47" s="1"/>
  <c r="B4207" i="47" s="1"/>
  <c r="D22" i="45" s="1"/>
  <c r="C3941" i="47"/>
  <c r="C3989" i="47" s="1"/>
  <c r="C4040" i="47" s="1"/>
  <c r="C4086" i="47" s="1"/>
  <c r="G3936" i="47"/>
  <c r="G3944" i="47"/>
  <c r="F3932" i="47"/>
  <c r="H3932" i="47" s="1"/>
  <c r="D3935" i="47"/>
  <c r="C3939" i="47"/>
  <c r="C3987" i="47" s="1"/>
  <c r="C4038" i="47" s="1"/>
  <c r="C4084" i="47" s="1"/>
  <c r="F3929" i="47"/>
  <c r="F3943" i="47"/>
  <c r="G3929" i="47"/>
  <c r="F3945" i="47"/>
  <c r="B3931" i="47"/>
  <c r="B3979" i="47" s="1"/>
  <c r="G3939" i="47"/>
  <c r="H3939" i="47" s="1"/>
  <c r="D3930" i="47"/>
  <c r="G3941" i="47"/>
  <c r="G3989" i="47" s="1"/>
  <c r="G4040" i="47" s="1"/>
  <c r="G4086" i="47" s="1"/>
  <c r="G4224" i="47" s="1"/>
  <c r="B3941" i="47"/>
  <c r="B3989" i="47" s="1"/>
  <c r="C3931" i="47"/>
  <c r="D3932" i="47"/>
  <c r="D3936" i="47"/>
  <c r="G3942" i="47"/>
  <c r="G3990" i="47" s="1"/>
  <c r="G4041" i="47" s="1"/>
  <c r="G4087" i="47" s="1"/>
  <c r="D3929" i="47"/>
  <c r="H3929" i="47" s="1"/>
  <c r="E3931" i="47"/>
  <c r="F3947" i="47"/>
  <c r="D4216" i="47"/>
  <c r="D4215" i="47"/>
  <c r="D4217" i="47"/>
  <c r="B4221" i="47"/>
  <c r="B4220" i="47"/>
  <c r="B4219" i="47"/>
  <c r="E3989" i="47"/>
  <c r="E3984" i="47"/>
  <c r="B4046" i="47"/>
  <c r="B4092" i="47" s="1"/>
  <c r="F4041" i="47"/>
  <c r="F4087" i="47" s="1"/>
  <c r="H3937" i="47"/>
  <c r="E3985" i="47"/>
  <c r="F4039" i="47"/>
  <c r="F4085" i="47" s="1"/>
  <c r="C4223" i="47"/>
  <c r="C4224" i="47"/>
  <c r="C4203" i="47"/>
  <c r="C4205" i="47"/>
  <c r="C4204" i="47"/>
  <c r="D4223" i="47"/>
  <c r="D4224" i="47"/>
  <c r="E3987" i="47"/>
  <c r="M74" i="46"/>
  <c r="E22" i="45"/>
  <c r="B4204" i="47"/>
  <c r="B4203" i="47"/>
  <c r="B4205" i="47"/>
  <c r="D4221" i="47"/>
  <c r="D4220" i="47"/>
  <c r="D4219" i="47"/>
  <c r="G4039" i="47"/>
  <c r="G4085" i="47" s="1"/>
  <c r="H3944" i="47"/>
  <c r="C4032" i="47"/>
  <c r="C4078" i="47" s="1"/>
  <c r="G4227" i="47"/>
  <c r="G4226" i="47"/>
  <c r="H3931" i="47"/>
  <c r="C4183" i="47"/>
  <c r="C4185" i="47"/>
  <c r="C4184" i="47"/>
  <c r="C4046" i="47"/>
  <c r="C4092" i="47" s="1"/>
  <c r="B4041" i="47"/>
  <c r="B4087" i="47" s="1"/>
  <c r="H3942" i="47"/>
  <c r="E3990" i="47"/>
  <c r="B4043" i="47"/>
  <c r="B4135" i="47" s="1"/>
  <c r="F4040" i="47"/>
  <c r="F4086" i="47" s="1"/>
  <c r="E3977" i="47"/>
  <c r="C4039" i="47"/>
  <c r="C4085" i="47" s="1"/>
  <c r="C4213" i="47"/>
  <c r="C4212" i="47"/>
  <c r="C4211" i="47"/>
  <c r="B4044" i="47"/>
  <c r="B4136" i="47" s="1"/>
  <c r="D4226" i="47"/>
  <c r="D4227" i="47"/>
  <c r="H3935" i="47"/>
  <c r="E3983" i="47"/>
  <c r="B4036" i="47"/>
  <c r="B4082" i="47" s="1"/>
  <c r="B4209" i="47" s="1"/>
  <c r="C4041" i="47"/>
  <c r="C4087" i="47" s="1"/>
  <c r="D4212" i="47"/>
  <c r="D4211" i="47"/>
  <c r="D4213" i="47"/>
  <c r="B4029" i="47"/>
  <c r="B4075" i="47" s="1"/>
  <c r="B4038" i="47"/>
  <c r="B4084" i="47" s="1"/>
  <c r="C4215" i="47"/>
  <c r="C4217" i="47"/>
  <c r="C4216" i="47"/>
  <c r="B4033" i="47"/>
  <c r="B4125" i="47" s="1"/>
  <c r="H3938" i="47"/>
  <c r="E3986" i="47"/>
  <c r="E3980" i="47"/>
  <c r="B4192" i="47"/>
  <c r="B4191" i="47"/>
  <c r="B4193" i="47"/>
  <c r="H3933" i="47"/>
  <c r="E3981" i="47"/>
  <c r="B4042" i="47"/>
  <c r="B4134" i="47" s="1"/>
  <c r="H3940" i="47"/>
  <c r="E3988" i="47"/>
  <c r="B4045" i="47"/>
  <c r="B4137" i="47" s="1"/>
  <c r="M76" i="46"/>
  <c r="E23" i="45"/>
  <c r="D4046" i="47"/>
  <c r="D4092" i="47" s="1"/>
  <c r="H3930" i="47"/>
  <c r="E3978" i="47"/>
  <c r="B4032" i="47"/>
  <c r="B4078" i="47" s="1"/>
  <c r="B4211" i="47"/>
  <c r="B4213" i="47"/>
  <c r="B4212" i="47"/>
  <c r="B4180" i="47"/>
  <c r="B4179" i="47"/>
  <c r="B4181" i="47"/>
  <c r="B4030" i="47"/>
  <c r="B4122" i="47" s="1"/>
  <c r="G4223" i="47"/>
  <c r="B4040" i="47"/>
  <c r="B4086" i="47" s="1"/>
  <c r="E74" i="46" l="1"/>
  <c r="L74" i="46"/>
  <c r="H3947" i="47"/>
  <c r="H3936" i="47"/>
  <c r="C4162" i="47" s="1"/>
  <c r="H3945" i="47"/>
  <c r="H3941" i="47"/>
  <c r="B4089" i="47"/>
  <c r="B4233" i="47" s="1"/>
  <c r="B4090" i="47"/>
  <c r="B4237" i="47" s="1"/>
  <c r="L76" i="46"/>
  <c r="E76" i="46"/>
  <c r="D23" i="45"/>
  <c r="B4226" i="47"/>
  <c r="B4227" i="47"/>
  <c r="F4219" i="47"/>
  <c r="F4221" i="47"/>
  <c r="F4220" i="47"/>
  <c r="B4215" i="47"/>
  <c r="B4217" i="47"/>
  <c r="B4216" i="47"/>
  <c r="C4197" i="47"/>
  <c r="C4196" i="47"/>
  <c r="C4195" i="47"/>
  <c r="B4185" i="47"/>
  <c r="B4184" i="47"/>
  <c r="B4183" i="47"/>
  <c r="D4245" i="47"/>
  <c r="D4247" i="47"/>
  <c r="D4246" i="47"/>
  <c r="B4224" i="47"/>
  <c r="B4223" i="47"/>
  <c r="F4227" i="47"/>
  <c r="F4226" i="47"/>
  <c r="D60" i="45"/>
  <c r="E48" i="46"/>
  <c r="L48" i="46"/>
  <c r="E80" i="46"/>
  <c r="D67" i="45"/>
  <c r="L80" i="46"/>
  <c r="H90" i="46"/>
  <c r="I27" i="45"/>
  <c r="L46" i="46"/>
  <c r="E46" i="46"/>
  <c r="D15" i="45"/>
  <c r="E78" i="46"/>
  <c r="D24" i="45"/>
  <c r="L78" i="46"/>
  <c r="E4029" i="47"/>
  <c r="B4121" i="47" s="1"/>
  <c r="E4039" i="47"/>
  <c r="E4085" i="47" s="1"/>
  <c r="E4032" i="47"/>
  <c r="E4078" i="47" s="1"/>
  <c r="L59" i="46"/>
  <c r="E59" i="46"/>
  <c r="D45" i="45"/>
  <c r="M84" i="46"/>
  <c r="E68" i="45"/>
  <c r="F49" i="45"/>
  <c r="N79" i="46"/>
  <c r="N93" i="46"/>
  <c r="F28" i="45"/>
  <c r="E49" i="45"/>
  <c r="M79" i="46"/>
  <c r="E4028" i="47"/>
  <c r="B4120" i="47" s="1"/>
  <c r="M51" i="46"/>
  <c r="E43" i="45"/>
  <c r="I28" i="45"/>
  <c r="H93" i="46"/>
  <c r="F26" i="45"/>
  <c r="N86" i="46"/>
  <c r="L70" i="46"/>
  <c r="E70" i="46"/>
  <c r="D21" i="45"/>
  <c r="E4038" i="47"/>
  <c r="E4084" i="47" s="1"/>
  <c r="E48" i="45"/>
  <c r="M71" i="46"/>
  <c r="E4036" i="47"/>
  <c r="B4128" i="47" s="1"/>
  <c r="B4245" i="47"/>
  <c r="B4247" i="47"/>
  <c r="B4246" i="47"/>
  <c r="L88" i="46"/>
  <c r="D69" i="45"/>
  <c r="L47" i="46"/>
  <c r="E47" i="46"/>
  <c r="D42" i="45"/>
  <c r="B4196" i="47"/>
  <c r="B4195" i="47"/>
  <c r="B4197" i="47"/>
  <c r="E4031" i="47"/>
  <c r="B4123" i="47" s="1"/>
  <c r="E25" i="45"/>
  <c r="M82" i="46"/>
  <c r="C4226" i="47"/>
  <c r="C4227" i="47"/>
  <c r="E4034" i="47"/>
  <c r="B4126" i="47" s="1"/>
  <c r="B4238" i="47"/>
  <c r="E67" i="45"/>
  <c r="M80" i="46"/>
  <c r="B4235" i="47"/>
  <c r="E61" i="45"/>
  <c r="M52" i="46"/>
  <c r="H94" i="46"/>
  <c r="I71" i="45"/>
  <c r="G4220" i="47"/>
  <c r="G4219" i="47"/>
  <c r="G4221" i="47"/>
  <c r="F51" i="45"/>
  <c r="N87" i="46"/>
  <c r="L71" i="46"/>
  <c r="E71" i="46"/>
  <c r="D48" i="45"/>
  <c r="M72" i="46"/>
  <c r="E66" i="45"/>
  <c r="M91" i="46"/>
  <c r="E70" i="45"/>
  <c r="B4138" i="47"/>
  <c r="E4040" i="47"/>
  <c r="E4086" i="47" s="1"/>
  <c r="F68" i="45"/>
  <c r="N84" i="46"/>
  <c r="B4076" i="47"/>
  <c r="E79" i="46"/>
  <c r="D49" i="45"/>
  <c r="L79" i="46"/>
  <c r="B4124" i="47"/>
  <c r="B4091" i="47"/>
  <c r="B4088" i="47"/>
  <c r="D63" i="45"/>
  <c r="E60" i="46"/>
  <c r="L60" i="46"/>
  <c r="B4079" i="47"/>
  <c r="F67" i="45"/>
  <c r="N80" i="46"/>
  <c r="B4132" i="47"/>
  <c r="E4041" i="47"/>
  <c r="E4087" i="47" s="1"/>
  <c r="M50" i="46"/>
  <c r="E16" i="45"/>
  <c r="F69" i="45"/>
  <c r="N88" i="46"/>
  <c r="F70" i="45"/>
  <c r="N91" i="46"/>
  <c r="M70" i="46"/>
  <c r="E21" i="45"/>
  <c r="M90" i="46"/>
  <c r="E27" i="45"/>
  <c r="E4035" i="47"/>
  <c r="B4127" i="47" s="1"/>
  <c r="L86" i="46"/>
  <c r="D26" i="45"/>
  <c r="N82" i="46"/>
  <c r="F25" i="45"/>
  <c r="H91" i="46"/>
  <c r="I70" i="45"/>
  <c r="E58" i="46"/>
  <c r="D18" i="45"/>
  <c r="L58" i="46"/>
  <c r="E4037" i="47"/>
  <c r="B4129" i="47" s="1"/>
  <c r="M83" i="46"/>
  <c r="E50" i="45"/>
  <c r="B4130" i="47"/>
  <c r="N78" i="46"/>
  <c r="F24" i="45"/>
  <c r="F71" i="45"/>
  <c r="N94" i="46"/>
  <c r="E24" i="45"/>
  <c r="M78" i="46"/>
  <c r="C4220" i="47"/>
  <c r="E87" i="46" s="1"/>
  <c r="C4219" i="47"/>
  <c r="E86" i="46" s="1"/>
  <c r="C4221" i="47"/>
  <c r="E88" i="46" s="1"/>
  <c r="F4224" i="47"/>
  <c r="F4223" i="47"/>
  <c r="C4245" i="47"/>
  <c r="C4247" i="47"/>
  <c r="C4246" i="47"/>
  <c r="D66" i="45"/>
  <c r="L72" i="46"/>
  <c r="E72" i="46"/>
  <c r="N90" i="46"/>
  <c r="F27" i="45"/>
  <c r="K74" i="46"/>
  <c r="Q74" i="46"/>
  <c r="O74" i="46"/>
  <c r="P74" i="46"/>
  <c r="L87" i="46"/>
  <c r="D51" i="45"/>
  <c r="N83" i="46"/>
  <c r="F50" i="45"/>
  <c r="B4239" i="47" l="1"/>
  <c r="B4131" i="47"/>
  <c r="B4133" i="47"/>
  <c r="B4234" i="47"/>
  <c r="D101" i="46" s="1"/>
  <c r="E4080" i="47"/>
  <c r="E4083" i="47"/>
  <c r="E4081" i="47"/>
  <c r="E4207" i="47" s="1"/>
  <c r="E4082" i="47"/>
  <c r="E4209" i="47" s="1"/>
  <c r="G23" i="45" s="1"/>
  <c r="E4075" i="47"/>
  <c r="K88" i="46"/>
  <c r="O88" i="46"/>
  <c r="Q88" i="46"/>
  <c r="E4195" i="47"/>
  <c r="E4197" i="47"/>
  <c r="E4196" i="47"/>
  <c r="E4216" i="47"/>
  <c r="E4217" i="47"/>
  <c r="E4215" i="47"/>
  <c r="O87" i="46"/>
  <c r="P87" i="46"/>
  <c r="Q87" i="46"/>
  <c r="G90" i="46"/>
  <c r="H27" i="45"/>
  <c r="M87" i="46"/>
  <c r="E51" i="45"/>
  <c r="K86" i="46"/>
  <c r="Q86" i="46"/>
  <c r="O86" i="46"/>
  <c r="B4241" i="47"/>
  <c r="B4243" i="47"/>
  <c r="B4242" i="47"/>
  <c r="Q79" i="46"/>
  <c r="O79" i="46"/>
  <c r="P79" i="46"/>
  <c r="E4224" i="47"/>
  <c r="E4223" i="47"/>
  <c r="P71" i="46"/>
  <c r="Q71" i="46"/>
  <c r="O71" i="46"/>
  <c r="H88" i="46"/>
  <c r="I69" i="45"/>
  <c r="E102" i="46"/>
  <c r="D73" i="45"/>
  <c r="D102" i="46"/>
  <c r="L102" i="46"/>
  <c r="E4205" i="47"/>
  <c r="E4204" i="47"/>
  <c r="E4203" i="47"/>
  <c r="E64" i="46"/>
  <c r="L64" i="46"/>
  <c r="D64" i="45"/>
  <c r="K47" i="46"/>
  <c r="O47" i="46"/>
  <c r="P47" i="46"/>
  <c r="Q47" i="46"/>
  <c r="F76" i="46"/>
  <c r="D4162" i="47"/>
  <c r="E4183" i="47"/>
  <c r="E4185" i="47"/>
  <c r="E4184" i="47"/>
  <c r="P78" i="46"/>
  <c r="Q78" i="46"/>
  <c r="O78" i="46"/>
  <c r="O80" i="46"/>
  <c r="P80" i="46"/>
  <c r="Q80" i="46"/>
  <c r="G93" i="46"/>
  <c r="H28" i="45"/>
  <c r="N113" i="46"/>
  <c r="F56" i="45"/>
  <c r="D43" i="45"/>
  <c r="L51" i="46"/>
  <c r="E51" i="46"/>
  <c r="M64" i="46"/>
  <c r="E64" i="45"/>
  <c r="H51" i="45"/>
  <c r="G87" i="46"/>
  <c r="L93" i="46"/>
  <c r="D28" i="45"/>
  <c r="E93" i="46"/>
  <c r="M113" i="46"/>
  <c r="E56" i="45"/>
  <c r="G91" i="46"/>
  <c r="H70" i="45"/>
  <c r="K60" i="46"/>
  <c r="P60" i="46"/>
  <c r="Q60" i="46"/>
  <c r="O60" i="46"/>
  <c r="B4188" i="47"/>
  <c r="B4187" i="47"/>
  <c r="B4189" i="47"/>
  <c r="H86" i="46"/>
  <c r="I26" i="45"/>
  <c r="L100" i="46"/>
  <c r="E100" i="46"/>
  <c r="D30" i="45"/>
  <c r="D100" i="46"/>
  <c r="L106" i="46"/>
  <c r="E106" i="46"/>
  <c r="D74" i="45"/>
  <c r="D106" i="46"/>
  <c r="L62" i="46"/>
  <c r="E62" i="46"/>
  <c r="D19" i="45"/>
  <c r="L113" i="46"/>
  <c r="E113" i="46"/>
  <c r="D56" i="45"/>
  <c r="D113" i="46"/>
  <c r="G94" i="46"/>
  <c r="H71" i="45"/>
  <c r="N114" i="46"/>
  <c r="F76" i="45"/>
  <c r="L52" i="46"/>
  <c r="E52" i="46"/>
  <c r="D61" i="45"/>
  <c r="E83" i="46"/>
  <c r="L83" i="46"/>
  <c r="D50" i="45"/>
  <c r="G88" i="46"/>
  <c r="H69" i="45"/>
  <c r="E76" i="45"/>
  <c r="M114" i="46"/>
  <c r="M88" i="46"/>
  <c r="P88" i="46" s="1"/>
  <c r="E69" i="45"/>
  <c r="E4211" i="47"/>
  <c r="E4213" i="47"/>
  <c r="E4212" i="47"/>
  <c r="K58" i="46"/>
  <c r="Q58" i="46"/>
  <c r="O58" i="46"/>
  <c r="P58" i="46"/>
  <c r="F74" i="46"/>
  <c r="G22" i="45"/>
  <c r="D74" i="46"/>
  <c r="E4227" i="47"/>
  <c r="E4226" i="47"/>
  <c r="H87" i="46"/>
  <c r="I51" i="45"/>
  <c r="C14" i="46"/>
  <c r="E4162" i="47"/>
  <c r="F4162" i="47" s="1"/>
  <c r="D31" i="45"/>
  <c r="D104" i="46"/>
  <c r="L104" i="46"/>
  <c r="E104" i="46"/>
  <c r="E71" i="45"/>
  <c r="M94" i="46"/>
  <c r="D46" i="45"/>
  <c r="L63" i="46"/>
  <c r="E63" i="46"/>
  <c r="D76" i="45"/>
  <c r="D114" i="46"/>
  <c r="L114" i="46"/>
  <c r="E114" i="46"/>
  <c r="K59" i="46"/>
  <c r="Q59" i="46"/>
  <c r="O59" i="46"/>
  <c r="P59" i="46"/>
  <c r="E4219" i="47"/>
  <c r="E4221" i="47"/>
  <c r="E4220" i="47"/>
  <c r="K46" i="46"/>
  <c r="O46" i="46"/>
  <c r="P46" i="46"/>
  <c r="Q46" i="46"/>
  <c r="K48" i="46"/>
  <c r="Q48" i="46"/>
  <c r="O48" i="46"/>
  <c r="P48" i="46"/>
  <c r="L90" i="46"/>
  <c r="E90" i="46"/>
  <c r="D27" i="45"/>
  <c r="N112" i="46"/>
  <c r="F33" i="45"/>
  <c r="M62" i="46"/>
  <c r="E19" i="45"/>
  <c r="L84" i="46"/>
  <c r="E84" i="46"/>
  <c r="D68" i="45"/>
  <c r="G86" i="46"/>
  <c r="G156" i="46" s="1"/>
  <c r="H26" i="45"/>
  <c r="K76" i="46"/>
  <c r="P76" i="46"/>
  <c r="Q76" i="46"/>
  <c r="O76" i="46"/>
  <c r="K72" i="46"/>
  <c r="O72" i="46"/>
  <c r="P72" i="46"/>
  <c r="Q72" i="46"/>
  <c r="M112" i="46"/>
  <c r="E33" i="45"/>
  <c r="M86" i="46"/>
  <c r="P86" i="46" s="1"/>
  <c r="E26" i="45"/>
  <c r="B4201" i="47"/>
  <c r="B4200" i="47"/>
  <c r="B4199" i="47"/>
  <c r="B4230" i="47"/>
  <c r="B4229" i="47"/>
  <c r="B4231" i="47"/>
  <c r="D53" i="45"/>
  <c r="L105" i="46"/>
  <c r="E105" i="46"/>
  <c r="D54" i="45"/>
  <c r="D105" i="46"/>
  <c r="E28" i="45"/>
  <c r="M93" i="46"/>
  <c r="E4077" i="47"/>
  <c r="D33" i="45"/>
  <c r="D112" i="46"/>
  <c r="L112" i="46"/>
  <c r="E112" i="46"/>
  <c r="K70" i="46"/>
  <c r="P70" i="46"/>
  <c r="Q70" i="46"/>
  <c r="O70" i="46"/>
  <c r="E4074" i="47"/>
  <c r="L91" i="46"/>
  <c r="E91" i="46"/>
  <c r="D70" i="45"/>
  <c r="E50" i="46"/>
  <c r="D16" i="45"/>
  <c r="L50" i="46"/>
  <c r="M63" i="46"/>
  <c r="E46" i="45"/>
  <c r="E82" i="46"/>
  <c r="D25" i="45"/>
  <c r="L82" i="46"/>
  <c r="L94" i="46"/>
  <c r="D71" i="45"/>
  <c r="E94" i="46"/>
  <c r="E101" i="46" l="1"/>
  <c r="L101" i="46"/>
  <c r="O101" i="46" s="1"/>
  <c r="D76" i="46"/>
  <c r="I112" i="46"/>
  <c r="J112" i="46"/>
  <c r="R112" i="46"/>
  <c r="S112" i="46"/>
  <c r="T112" i="46"/>
  <c r="K94" i="46"/>
  <c r="O94" i="46"/>
  <c r="P94" i="46"/>
  <c r="Q94" i="46"/>
  <c r="K91" i="46"/>
  <c r="O91" i="46"/>
  <c r="P91" i="46"/>
  <c r="Q91" i="46"/>
  <c r="P105" i="46"/>
  <c r="Q105" i="46"/>
  <c r="O105" i="46"/>
  <c r="L97" i="46"/>
  <c r="E97" i="46"/>
  <c r="D52" i="45"/>
  <c r="D97" i="46"/>
  <c r="P114" i="46"/>
  <c r="Q114" i="46"/>
  <c r="O114" i="46"/>
  <c r="P63" i="46"/>
  <c r="Q63" i="46"/>
  <c r="O63" i="46"/>
  <c r="F78" i="46"/>
  <c r="D78" i="46"/>
  <c r="G24" i="45"/>
  <c r="T106" i="46"/>
  <c r="R106" i="46"/>
  <c r="S106" i="46"/>
  <c r="J100" i="46"/>
  <c r="I100" i="46"/>
  <c r="T100" i="46"/>
  <c r="R100" i="46"/>
  <c r="S100" i="46"/>
  <c r="L55" i="46"/>
  <c r="D55" i="46"/>
  <c r="E55" i="46"/>
  <c r="D44" i="45"/>
  <c r="K51" i="46"/>
  <c r="P51" i="46"/>
  <c r="Q51" i="46"/>
  <c r="O51" i="46"/>
  <c r="D71" i="46"/>
  <c r="G48" i="45"/>
  <c r="F71" i="46"/>
  <c r="G70" i="45"/>
  <c r="F91" i="46"/>
  <c r="D91" i="46"/>
  <c r="E109" i="46"/>
  <c r="D55" i="45"/>
  <c r="D109" i="46"/>
  <c r="L109" i="46"/>
  <c r="F83" i="46"/>
  <c r="G50" i="45"/>
  <c r="D83" i="46"/>
  <c r="I101" i="46"/>
  <c r="T101" i="46"/>
  <c r="R101" i="46"/>
  <c r="S101" i="46"/>
  <c r="E66" i="46"/>
  <c r="D20" i="45"/>
  <c r="L66" i="46"/>
  <c r="D66" i="46"/>
  <c r="G51" i="45"/>
  <c r="F87" i="46"/>
  <c r="D87" i="46"/>
  <c r="K104" i="46"/>
  <c r="Q104" i="46"/>
  <c r="O104" i="46"/>
  <c r="P104" i="46"/>
  <c r="E14" i="46"/>
  <c r="D14" i="46"/>
  <c r="F93" i="46"/>
  <c r="G28" i="45"/>
  <c r="D93" i="46"/>
  <c r="Q83" i="46"/>
  <c r="O83" i="46"/>
  <c r="P83" i="46"/>
  <c r="S113" i="46"/>
  <c r="T113" i="46"/>
  <c r="R113" i="46"/>
  <c r="H156" i="46"/>
  <c r="K93" i="46"/>
  <c r="P93" i="46"/>
  <c r="Q93" i="46"/>
  <c r="O93" i="46"/>
  <c r="F51" i="46"/>
  <c r="D51" i="46"/>
  <c r="G43" i="45"/>
  <c r="I76" i="46"/>
  <c r="J76" i="46"/>
  <c r="T76" i="46"/>
  <c r="R76" i="46"/>
  <c r="S76" i="46"/>
  <c r="G66" i="45"/>
  <c r="F72" i="46"/>
  <c r="D72" i="46"/>
  <c r="K102" i="46"/>
  <c r="O102" i="46"/>
  <c r="P102" i="46"/>
  <c r="Q102" i="46"/>
  <c r="L110" i="46"/>
  <c r="D75" i="45"/>
  <c r="D110" i="46"/>
  <c r="E110" i="46"/>
  <c r="G46" i="45"/>
  <c r="D63" i="46"/>
  <c r="F63" i="46"/>
  <c r="K50" i="46"/>
  <c r="O50" i="46"/>
  <c r="P50" i="46"/>
  <c r="Q50" i="46"/>
  <c r="E4180" i="47"/>
  <c r="E4179" i="47"/>
  <c r="E4181" i="47"/>
  <c r="T105" i="46"/>
  <c r="R105" i="46"/>
  <c r="S105" i="46"/>
  <c r="L98" i="46"/>
  <c r="E98" i="46"/>
  <c r="D72" i="45"/>
  <c r="D98" i="46"/>
  <c r="E67" i="46"/>
  <c r="D47" i="45"/>
  <c r="D67" i="46"/>
  <c r="L67" i="46"/>
  <c r="K90" i="46"/>
  <c r="Q90" i="46"/>
  <c r="O90" i="46"/>
  <c r="P90" i="46"/>
  <c r="F88" i="46"/>
  <c r="G69" i="45"/>
  <c r="D88" i="46"/>
  <c r="R114" i="46"/>
  <c r="S114" i="46"/>
  <c r="T114" i="46"/>
  <c r="G71" i="45"/>
  <c r="F94" i="46"/>
  <c r="D94" i="46"/>
  <c r="F79" i="46"/>
  <c r="D79" i="46"/>
  <c r="G49" i="45"/>
  <c r="K62" i="46"/>
  <c r="Q62" i="46"/>
  <c r="O62" i="46"/>
  <c r="P62" i="46"/>
  <c r="O106" i="46"/>
  <c r="P106" i="46"/>
  <c r="Q106" i="46"/>
  <c r="K100" i="46"/>
  <c r="P100" i="46"/>
  <c r="Q100" i="46"/>
  <c r="O100" i="46"/>
  <c r="L56" i="46"/>
  <c r="E56" i="46"/>
  <c r="D62" i="45"/>
  <c r="D56" i="46"/>
  <c r="D52" i="46"/>
  <c r="F52" i="46"/>
  <c r="G61" i="45"/>
  <c r="K64" i="46"/>
  <c r="P64" i="46"/>
  <c r="Q64" i="46"/>
  <c r="O64" i="46"/>
  <c r="D108" i="46"/>
  <c r="L108" i="46"/>
  <c r="E108" i="46"/>
  <c r="D32" i="45"/>
  <c r="F82" i="46"/>
  <c r="G25" i="45"/>
  <c r="D82" i="46"/>
  <c r="G64" i="45"/>
  <c r="D64" i="46"/>
  <c r="F64" i="46"/>
  <c r="O82" i="46"/>
  <c r="P82" i="46"/>
  <c r="Q82" i="46"/>
  <c r="K112" i="46"/>
  <c r="P112" i="46"/>
  <c r="Q112" i="46"/>
  <c r="O112" i="46"/>
  <c r="E4193" i="47"/>
  <c r="E4192" i="47"/>
  <c r="E4191" i="47"/>
  <c r="K101" i="46"/>
  <c r="P101" i="46"/>
  <c r="Q101" i="46"/>
  <c r="D96" i="46"/>
  <c r="L96" i="46"/>
  <c r="E96" i="46"/>
  <c r="D29" i="45"/>
  <c r="D68" i="46"/>
  <c r="L68" i="46"/>
  <c r="E68" i="46"/>
  <c r="D65" i="45"/>
  <c r="O84" i="46"/>
  <c r="P84" i="46"/>
  <c r="Q84" i="46"/>
  <c r="F86" i="46"/>
  <c r="G26" i="45"/>
  <c r="D86" i="46"/>
  <c r="J104" i="46"/>
  <c r="I104" i="46"/>
  <c r="R104" i="46"/>
  <c r="S104" i="46"/>
  <c r="T104" i="46"/>
  <c r="I74" i="46"/>
  <c r="J74" i="46"/>
  <c r="S74" i="46"/>
  <c r="T74" i="46"/>
  <c r="R74" i="46"/>
  <c r="F80" i="46"/>
  <c r="G67" i="45"/>
  <c r="D80" i="46"/>
  <c r="K52" i="46"/>
  <c r="O52" i="46"/>
  <c r="P52" i="46"/>
  <c r="Q52" i="46"/>
  <c r="O113" i="46"/>
  <c r="P113" i="46"/>
  <c r="Q113" i="46"/>
  <c r="L54" i="46"/>
  <c r="E54" i="46"/>
  <c r="D17" i="45"/>
  <c r="D54" i="46"/>
  <c r="F50" i="46"/>
  <c r="D50" i="46"/>
  <c r="G16" i="45"/>
  <c r="D70" i="46"/>
  <c r="F70" i="46"/>
  <c r="G21" i="45"/>
  <c r="I102" i="46"/>
  <c r="R102" i="46"/>
  <c r="S102" i="46"/>
  <c r="T102" i="46"/>
  <c r="F90" i="46"/>
  <c r="G27" i="45"/>
  <c r="D90" i="46"/>
  <c r="G68" i="45"/>
  <c r="F84" i="46"/>
  <c r="D84" i="46"/>
  <c r="F62" i="46"/>
  <c r="D62" i="46"/>
  <c r="G19" i="45"/>
  <c r="K54" i="46" l="1"/>
  <c r="P54" i="46"/>
  <c r="Q54" i="46"/>
  <c r="O54" i="46"/>
  <c r="S68" i="46"/>
  <c r="T68" i="46"/>
  <c r="R68" i="46"/>
  <c r="J96" i="46"/>
  <c r="I96" i="46"/>
  <c r="R96" i="46"/>
  <c r="S96" i="46"/>
  <c r="T96" i="46"/>
  <c r="I64" i="46"/>
  <c r="J64" i="46"/>
  <c r="R64" i="46"/>
  <c r="S64" i="46"/>
  <c r="T64" i="46"/>
  <c r="J108" i="46"/>
  <c r="S108" i="46"/>
  <c r="T108" i="46"/>
  <c r="R108" i="46"/>
  <c r="S56" i="46"/>
  <c r="T56" i="46"/>
  <c r="R56" i="46"/>
  <c r="R79" i="46"/>
  <c r="S79" i="46"/>
  <c r="T79" i="46"/>
  <c r="J88" i="46"/>
  <c r="I88" i="46"/>
  <c r="S88" i="46"/>
  <c r="T88" i="46"/>
  <c r="R88" i="46"/>
  <c r="T67" i="46"/>
  <c r="R67" i="46"/>
  <c r="S67" i="46"/>
  <c r="G42" i="45"/>
  <c r="D47" i="46"/>
  <c r="F47" i="46"/>
  <c r="O110" i="46"/>
  <c r="P110" i="46"/>
  <c r="Q110" i="46"/>
  <c r="J72" i="46"/>
  <c r="I72" i="46"/>
  <c r="T72" i="46"/>
  <c r="R72" i="46"/>
  <c r="S72" i="46"/>
  <c r="P109" i="46"/>
  <c r="Q109" i="46"/>
  <c r="O109" i="46"/>
  <c r="Q55" i="46"/>
  <c r="O55" i="46"/>
  <c r="P55" i="46"/>
  <c r="T78" i="46"/>
  <c r="R78" i="46"/>
  <c r="S78" i="46"/>
  <c r="I97" i="46"/>
  <c r="R97" i="46"/>
  <c r="S97" i="46"/>
  <c r="T97" i="46"/>
  <c r="J50" i="46"/>
  <c r="I50" i="46"/>
  <c r="S50" i="46"/>
  <c r="T50" i="46"/>
  <c r="R50" i="46"/>
  <c r="J90" i="46"/>
  <c r="I90" i="46"/>
  <c r="R90" i="46"/>
  <c r="S90" i="46"/>
  <c r="T90" i="46"/>
  <c r="R80" i="46"/>
  <c r="S80" i="46"/>
  <c r="T80" i="46"/>
  <c r="E156" i="46"/>
  <c r="F58" i="46"/>
  <c r="G18" i="45"/>
  <c r="D58" i="46"/>
  <c r="K98" i="46"/>
  <c r="P98" i="46"/>
  <c r="Q98" i="46"/>
  <c r="O98" i="46"/>
  <c r="T110" i="46"/>
  <c r="R110" i="46"/>
  <c r="S110" i="46"/>
  <c r="J51" i="46"/>
  <c r="I51" i="46"/>
  <c r="S51" i="46"/>
  <c r="T51" i="46"/>
  <c r="R51" i="46"/>
  <c r="K66" i="46"/>
  <c r="Q66" i="46"/>
  <c r="O66" i="46"/>
  <c r="P66" i="46"/>
  <c r="I91" i="46"/>
  <c r="J91" i="46"/>
  <c r="T91" i="46"/>
  <c r="R91" i="46"/>
  <c r="S91" i="46"/>
  <c r="R55" i="46"/>
  <c r="S55" i="46"/>
  <c r="T55" i="46"/>
  <c r="I62" i="46"/>
  <c r="J62" i="46"/>
  <c r="T62" i="46"/>
  <c r="R62" i="46"/>
  <c r="S62" i="46"/>
  <c r="I70" i="46"/>
  <c r="J70" i="46"/>
  <c r="R70" i="46"/>
  <c r="S70" i="46"/>
  <c r="T70" i="46"/>
  <c r="I86" i="46"/>
  <c r="J86" i="46"/>
  <c r="R86" i="46"/>
  <c r="S86" i="46"/>
  <c r="T86" i="46"/>
  <c r="O68" i="46"/>
  <c r="P68" i="46"/>
  <c r="Q68" i="46"/>
  <c r="K96" i="46"/>
  <c r="O96" i="46"/>
  <c r="P96" i="46"/>
  <c r="Q96" i="46"/>
  <c r="D59" i="46"/>
  <c r="F59" i="46"/>
  <c r="G45" i="45"/>
  <c r="R82" i="46"/>
  <c r="S82" i="46"/>
  <c r="T82" i="46"/>
  <c r="O108" i="46"/>
  <c r="P108" i="46"/>
  <c r="Q108" i="46"/>
  <c r="P56" i="46"/>
  <c r="Q56" i="46"/>
  <c r="O56" i="46"/>
  <c r="J94" i="46"/>
  <c r="I94" i="46"/>
  <c r="R94" i="46"/>
  <c r="S94" i="46"/>
  <c r="T94" i="46"/>
  <c r="P67" i="46"/>
  <c r="Q67" i="46"/>
  <c r="O67" i="46"/>
  <c r="D48" i="46"/>
  <c r="F48" i="46"/>
  <c r="G60" i="45"/>
  <c r="S63" i="46"/>
  <c r="T63" i="46"/>
  <c r="R63" i="46"/>
  <c r="I93" i="46"/>
  <c r="J93" i="46"/>
  <c r="S93" i="46"/>
  <c r="T93" i="46"/>
  <c r="R93" i="46"/>
  <c r="I66" i="46"/>
  <c r="R66" i="46"/>
  <c r="S66" i="46"/>
  <c r="T66" i="46"/>
  <c r="R83" i="46"/>
  <c r="S83" i="46"/>
  <c r="T83" i="46"/>
  <c r="T109" i="46"/>
  <c r="R109" i="46"/>
  <c r="S109" i="46"/>
  <c r="R71" i="46"/>
  <c r="S71" i="46"/>
  <c r="T71" i="46"/>
  <c r="K97" i="46"/>
  <c r="O97" i="46"/>
  <c r="P97" i="46"/>
  <c r="Q97" i="46"/>
  <c r="T84" i="46"/>
  <c r="R84" i="46"/>
  <c r="S84" i="46"/>
  <c r="I54" i="46"/>
  <c r="T54" i="46"/>
  <c r="R54" i="46"/>
  <c r="S54" i="46"/>
  <c r="G63" i="45"/>
  <c r="F60" i="46"/>
  <c r="D60" i="46"/>
  <c r="I52" i="46"/>
  <c r="J52" i="46"/>
  <c r="S52" i="46"/>
  <c r="T52" i="46"/>
  <c r="R52" i="46"/>
  <c r="I98" i="46"/>
  <c r="T98" i="46"/>
  <c r="R98" i="46"/>
  <c r="S98" i="46"/>
  <c r="G15" i="45"/>
  <c r="F46" i="46"/>
  <c r="D46" i="46"/>
  <c r="T87" i="46"/>
  <c r="R87" i="46"/>
  <c r="S87" i="46"/>
  <c r="F156" i="46" l="1"/>
  <c r="I46" i="46"/>
  <c r="J46" i="46"/>
  <c r="D156" i="46"/>
  <c r="S46" i="46"/>
  <c r="T46" i="46"/>
  <c r="R46" i="46"/>
  <c r="I60" i="46"/>
  <c r="J60" i="46"/>
  <c r="R60" i="46"/>
  <c r="S60" i="46"/>
  <c r="T60" i="46"/>
  <c r="I58" i="46"/>
  <c r="J58" i="46"/>
  <c r="R58" i="46"/>
  <c r="S58" i="46"/>
  <c r="T58" i="46"/>
  <c r="J48" i="46"/>
  <c r="I48" i="46"/>
  <c r="T48" i="46"/>
  <c r="R48" i="46"/>
  <c r="S48" i="46"/>
  <c r="I59" i="46"/>
  <c r="J59" i="46"/>
  <c r="R59" i="46"/>
  <c r="S59" i="46"/>
  <c r="T59" i="46"/>
  <c r="I47" i="46"/>
  <c r="J47" i="46"/>
  <c r="S47" i="46"/>
  <c r="T47" i="46"/>
  <c r="R47" i="46"/>
</calcChain>
</file>

<file path=xl/comments1.xml><?xml version="1.0" encoding="utf-8"?>
<comments xmlns="http://schemas.openxmlformats.org/spreadsheetml/2006/main">
  <authors>
    <author>ong001c</author>
  </authors>
  <commentList>
    <comment ref="G7" authorId="0">
      <text>
        <r>
          <rPr>
            <b/>
            <sz val="8"/>
            <color indexed="81"/>
            <rFont val="Tahoma"/>
            <family val="2"/>
          </rPr>
          <t>ong001c:</t>
        </r>
        <r>
          <rPr>
            <sz val="8"/>
            <color indexed="81"/>
            <rFont val="Tahoma"/>
            <family val="2"/>
          </rPr>
          <t xml:space="preserve">
Left blank intentionally</t>
        </r>
      </text>
    </comment>
  </commentList>
</comments>
</file>

<file path=xl/sharedStrings.xml><?xml version="1.0" encoding="utf-8"?>
<sst xmlns="http://schemas.openxmlformats.org/spreadsheetml/2006/main" count="10629" uniqueCount="1875">
  <si>
    <t>1000. Company, charging year, data version</t>
  </si>
  <si>
    <t>Company</t>
  </si>
  <si>
    <t>Year</t>
  </si>
  <si>
    <t>Version</t>
  </si>
  <si>
    <t>Company, charging year, data version</t>
  </si>
  <si>
    <t>CRC</t>
  </si>
  <si>
    <t>Value</t>
  </si>
  <si>
    <t>H = F + G</t>
  </si>
  <si>
    <t>PUt</t>
  </si>
  <si>
    <t>PIADt</t>
  </si>
  <si>
    <t>MGt</t>
  </si>
  <si>
    <t>BRt</t>
  </si>
  <si>
    <t>RBt</t>
  </si>
  <si>
    <t>LFt</t>
  </si>
  <si>
    <t>TBt</t>
  </si>
  <si>
    <t>UNCt</t>
  </si>
  <si>
    <t>MPTt, HBt, IEDt</t>
  </si>
  <si>
    <t>PTt</t>
  </si>
  <si>
    <t>UILt</t>
  </si>
  <si>
    <t>PCOLt</t>
  </si>
  <si>
    <t>-COLt</t>
  </si>
  <si>
    <t>PPLt</t>
  </si>
  <si>
    <t>IQt</t>
  </si>
  <si>
    <t>ITt</t>
  </si>
  <si>
    <t>IFIt</t>
  </si>
  <si>
    <t>IGt</t>
  </si>
  <si>
    <t>LCN1t</t>
  </si>
  <si>
    <t>LCN2t</t>
  </si>
  <si>
    <t>LCN3t</t>
  </si>
  <si>
    <t>-Kt</t>
  </si>
  <si>
    <t>CTRAt</t>
  </si>
  <si>
    <t>ARt</t>
  </si>
  <si>
    <t>ES4</t>
  </si>
  <si>
    <t>ES5</t>
  </si>
  <si>
    <t>ES7</t>
  </si>
  <si>
    <t>CRC3</t>
  </si>
  <si>
    <t>CRC4</t>
  </si>
  <si>
    <t>CRC7</t>
  </si>
  <si>
    <t>CRC8</t>
  </si>
  <si>
    <t>CRC9</t>
  </si>
  <si>
    <t>CRC10</t>
  </si>
  <si>
    <t>CRC11</t>
  </si>
  <si>
    <t>CRC12</t>
  </si>
  <si>
    <t>CRC13</t>
  </si>
  <si>
    <t>CRC15</t>
  </si>
  <si>
    <t>1010. Financial and general assumptions</t>
  </si>
  <si>
    <t>Sources: financial assumptions; calendar; network model.</t>
  </si>
  <si>
    <t>These financial assumptions determine the annuity rate applied to convert the asset values of the network model into an annual charge.</t>
  </si>
  <si>
    <t>Rate of return</t>
  </si>
  <si>
    <t>Annualisation period (years)</t>
  </si>
  <si>
    <t>Annuity proportion for customer-contributed assets</t>
  </si>
  <si>
    <t>Power factor</t>
  </si>
  <si>
    <t>Financial and general assumptions</t>
  </si>
  <si>
    <t>1017. Diversity allowance between top and bottom of network level</t>
  </si>
  <si>
    <t>Source: operational data analysis and/or network model.</t>
  </si>
  <si>
    <t>The diversity figure against GSP is the diversity between GSP Group (the whole system) and individual GSPs.</t>
  </si>
  <si>
    <t>The diversity figure against 132kV is the diversity between GSPs (the top of the 132kV network) and 132kV/EHV bulk supply points (the bottom of the 132kV network). </t>
  </si>
  <si>
    <t>The diversity figure against EHV is the diversity between 132kV/EHV bulk supply points (the top of the EHV network) and EHV/HV primary substations (the bottom of the EHV network). </t>
  </si>
  <si>
    <t>The diversity figure against HV is the diversity between EHV/HV primary substations (the top of the HV network) and HV/LV substations (the bottom of the HV network). </t>
  </si>
  <si>
    <t>Diversity allowance between top and bottom of network level</t>
  </si>
  <si>
    <t>GSPs</t>
  </si>
  <si>
    <t>132kV</t>
  </si>
  <si>
    <t>132kV/EHV</t>
  </si>
  <si>
    <t>EHV</t>
  </si>
  <si>
    <t>EHV/HV</t>
  </si>
  <si>
    <t>HV</t>
  </si>
  <si>
    <t>HV/LV</t>
  </si>
  <si>
    <t>LV circuits</t>
  </si>
  <si>
    <t>1018. Proportion of relevant load going through 132kV/HV direct transformation</t>
  </si>
  <si>
    <t>132kV/HV</t>
  </si>
  <si>
    <t>1019. Network model GSP peak demand (MW)</t>
  </si>
  <si>
    <t>Network model GSP peak demand (MW)</t>
  </si>
  <si>
    <t>1020. Gross asset cost by network level (£)</t>
  </si>
  <si>
    <t>Gross assets £</t>
  </si>
  <si>
    <t>1022. LV service model asset cost (£)</t>
  </si>
  <si>
    <t>LV service model 1</t>
  </si>
  <si>
    <t>LV service model 2</t>
  </si>
  <si>
    <t>LV service model 3</t>
  </si>
  <si>
    <t>LV service model 4</t>
  </si>
  <si>
    <t>LV service model 5</t>
  </si>
  <si>
    <t>LV service model 6</t>
  </si>
  <si>
    <t>LV service model 7</t>
  </si>
  <si>
    <t>LV service model 8</t>
  </si>
  <si>
    <t>LV service model asset cost (£)</t>
  </si>
  <si>
    <t>1023. HV service model asset cost (£)</t>
  </si>
  <si>
    <t>HV service model 1</t>
  </si>
  <si>
    <t>HV service model 2</t>
  </si>
  <si>
    <t>HV service model 3</t>
  </si>
  <si>
    <t>HV service model 4</t>
  </si>
  <si>
    <t>HV service model 5</t>
  </si>
  <si>
    <t>HV service model asset cost (£)</t>
  </si>
  <si>
    <t>1025. Matrix of applicability of LV service models to tariffs with fixed charges</t>
  </si>
  <si>
    <t>Domestic Unrestricted</t>
  </si>
  <si>
    <t>Domestic Two Rate</t>
  </si>
  <si>
    <t>Small Non Domestic Unrestricted</t>
  </si>
  <si>
    <t>Small Non Domestic Two Rate</t>
  </si>
  <si>
    <t>LV Medium Non-Domestic</t>
  </si>
  <si>
    <t>LV Sub Medium Non-Domestic</t>
  </si>
  <si>
    <t>LV HH Metered</t>
  </si>
  <si>
    <t>LV Sub HH Metered</t>
  </si>
  <si>
    <t>LV Sub Generation NHH</t>
  </si>
  <si>
    <t>LV Generation Intermittent</t>
  </si>
  <si>
    <t>LV Generation Non-Intermittent</t>
  </si>
  <si>
    <t>LV Sub Generation Intermittent</t>
  </si>
  <si>
    <t>LV Sub Generation Non-Intermittent</t>
  </si>
  <si>
    <t>1026. Matrix of applicability of LV service models to unmetered tariffs</t>
  </si>
  <si>
    <t>Source: service models</t>
  </si>
  <si>
    <t>Proportion of service model involved in connecting load of 1 MWh/year</t>
  </si>
  <si>
    <t>All LV unmetered tariffs</t>
  </si>
  <si>
    <t>1028. Matrix of applicability of HV service models to tariffs with fixed charges</t>
  </si>
  <si>
    <t>HV Medium Non-Domestic</t>
  </si>
  <si>
    <t>HV HH Metered</t>
  </si>
  <si>
    <t>HV Generation Intermittent</t>
  </si>
  <si>
    <t>HV Generation Non-Intermittent</t>
  </si>
  <si>
    <t>1032. Loss adjustment factors to transmission</t>
  </si>
  <si>
    <t>Source: losses model or loss adjustment factors at time of system peak.</t>
  </si>
  <si>
    <t>Loss adjustment factor</t>
  </si>
  <si>
    <t>1037. Embedded network (LDNO) discounts</t>
  </si>
  <si>
    <t>Source: separate price control disaggregation model.</t>
  </si>
  <si>
    <t>No discount</t>
  </si>
  <si>
    <t>LDNO LV: LV user</t>
  </si>
  <si>
    <t>LDNO HV: LV user</t>
  </si>
  <si>
    <t>LDNO HV: LV sub user</t>
  </si>
  <si>
    <t>LDNO HV: HV user</t>
  </si>
  <si>
    <t>LDNO discount</t>
  </si>
  <si>
    <t>1041. Load profile data for demand users</t>
  </si>
  <si>
    <t>Source: load data analysis.</t>
  </si>
  <si>
    <t>Coincidence factor</t>
  </si>
  <si>
    <t>Load factor</t>
  </si>
  <si>
    <t>Domestic Off Peak (related MPAN)</t>
  </si>
  <si>
    <t>Small Non Domestic Off Peak (related MPAN)</t>
  </si>
  <si>
    <t>NHH UMS category A</t>
  </si>
  <si>
    <t>NHH UMS category B</t>
  </si>
  <si>
    <t>NHH UMS category C</t>
  </si>
  <si>
    <t>NHH UMS category D</t>
  </si>
  <si>
    <t>LV UMS (Pseudo HH Metered)</t>
  </si>
  <si>
    <t>1053. Volume forecasts for the charging year</t>
  </si>
  <si>
    <t>Source: forecast.</t>
  </si>
  <si>
    <t>Please include MPAN counts for tariffs with no fixed charge (e.g. off-peak tariffs),</t>
  </si>
  <si>
    <t>but exclude MPANs on tariffs with a fixed charge that are not subject to a fixed charge due to a site grouping arrangement.</t>
  </si>
  <si>
    <t>Rate 1 units (MWh)</t>
  </si>
  <si>
    <t>Rate 2 units (MWh)</t>
  </si>
  <si>
    <t>Rate 3 units (MWh)</t>
  </si>
  <si>
    <t>MPANs</t>
  </si>
  <si>
    <t>Import capacity (kVA)</t>
  </si>
  <si>
    <t>Reactive power units (MVArh)</t>
  </si>
  <si>
    <t>&gt; Domestic Unrestricted</t>
  </si>
  <si>
    <t>LDNO LV: Domestic Unrestricted</t>
  </si>
  <si>
    <t>LDNO HV: Domestic Unrestricted</t>
  </si>
  <si>
    <t>&gt; Domestic Two Rate</t>
  </si>
  <si>
    <t>LDNO LV: Domestic Two Rate</t>
  </si>
  <si>
    <t>LDNO HV: Domestic Two Rate</t>
  </si>
  <si>
    <t>&gt; Domestic Off Peak (related MPAN)</t>
  </si>
  <si>
    <t>LDNO LV: Domestic Off Peak (related MPAN)</t>
  </si>
  <si>
    <t>LDNO HV: Domestic Off Peak (related MPAN)</t>
  </si>
  <si>
    <t>&gt; Small Non Domestic Unrestricted</t>
  </si>
  <si>
    <t>LDNO LV: Small Non Domestic Unrestricted</t>
  </si>
  <si>
    <t>LDNO HV: Small Non Domestic Unrestricted</t>
  </si>
  <si>
    <t>&gt; Small Non Domestic Two Rate</t>
  </si>
  <si>
    <t>LDNO LV: Small Non Domestic Two Rate</t>
  </si>
  <si>
    <t>LDNO HV: Small Non Domestic Two Rate</t>
  </si>
  <si>
    <t>&gt; Small Non Domestic Off Peak (related MPAN)</t>
  </si>
  <si>
    <t>LDNO LV: Small Non Domestic Off Peak (related MPAN)</t>
  </si>
  <si>
    <t>LDNO HV: Small Non Domestic Off Peak (related MPAN)</t>
  </si>
  <si>
    <t>&gt; LV Medium Non-Domestic</t>
  </si>
  <si>
    <t>LDNO LV: LV Medium Non-Domestic</t>
  </si>
  <si>
    <t>LDNO HV: LV Medium Non-Domestic</t>
  </si>
  <si>
    <t>&gt; LV Sub Medium Non-Domestic</t>
  </si>
  <si>
    <t>&gt; HV Medium Non-Domestic</t>
  </si>
  <si>
    <t>&gt; LV HH Metered</t>
  </si>
  <si>
    <t>LDNO LV: LV HH Metered</t>
  </si>
  <si>
    <t>LDNO HV: LV HH Metered</t>
  </si>
  <si>
    <t>&gt; LV Sub HH Metered</t>
  </si>
  <si>
    <t>LDNO HV: LV Sub HH Metered</t>
  </si>
  <si>
    <t>&gt; HV HH Metered</t>
  </si>
  <si>
    <t>LDNO HV: HV HH Metered</t>
  </si>
  <si>
    <t>&gt; NHH UMS category A</t>
  </si>
  <si>
    <t>LDNO LV: NHH UMS category A</t>
  </si>
  <si>
    <t>LDNO HV: NHH UMS category A</t>
  </si>
  <si>
    <t>&gt; NHH UMS category B</t>
  </si>
  <si>
    <t>LDNO LV: NHH UMS category B</t>
  </si>
  <si>
    <t>LDNO HV: NHH UMS category B</t>
  </si>
  <si>
    <t>&gt; NHH UMS category C</t>
  </si>
  <si>
    <t>LDNO LV: NHH UMS category C</t>
  </si>
  <si>
    <t>LDNO HV: NHH UMS category C</t>
  </si>
  <si>
    <t>&gt; NHH UMS category D</t>
  </si>
  <si>
    <t>LDNO LV: NHH UMS category D</t>
  </si>
  <si>
    <t>LDNO HV: NHH UMS category D</t>
  </si>
  <si>
    <t>&gt; LV UMS (Pseudo HH Metered)</t>
  </si>
  <si>
    <t>LDNO LV: LV UMS (Pseudo HH Metered)</t>
  </si>
  <si>
    <t>LDNO HV: LV UMS (Pseudo HH Metered)</t>
  </si>
  <si>
    <t>&gt; LV Sub Generation NHH</t>
  </si>
  <si>
    <t>LDNO HV: LV Sub Generation NHH</t>
  </si>
  <si>
    <t>&gt; LV Generation Intermittent</t>
  </si>
  <si>
    <t>LDNO LV: LV Generation Intermittent</t>
  </si>
  <si>
    <t>LDNO HV: LV Generation Intermittent</t>
  </si>
  <si>
    <t>&gt; LV Generation Non-Intermittent</t>
  </si>
  <si>
    <t>LDNO LV: LV Generation Non-Intermittent</t>
  </si>
  <si>
    <t>LDNO HV: LV Generation Non-Intermittent</t>
  </si>
  <si>
    <t>&gt; LV Sub Generation Intermittent</t>
  </si>
  <si>
    <t>LDNO HV: LV Sub Generation Intermittent</t>
  </si>
  <si>
    <t>&gt; LV Sub Generation Non-Intermittent</t>
  </si>
  <si>
    <t>LDNO HV: LV Sub Generation Non-Intermittent</t>
  </si>
  <si>
    <t>&gt; HV Generation Intermittent</t>
  </si>
  <si>
    <t>LDNO HV: HV Generation Intermittent</t>
  </si>
  <si>
    <t>&gt; HV Generation Non-Intermittent</t>
  </si>
  <si>
    <t>LDNO HV: HV Generation Non-Intermittent</t>
  </si>
  <si>
    <t>1055. Transmission exit charges (£/year)</t>
  </si>
  <si>
    <t>Transmission
exit</t>
  </si>
  <si>
    <t>Transmission exit charges (£/year)</t>
  </si>
  <si>
    <t>1059. Other expenditure</t>
  </si>
  <si>
    <t>Direct cost (£/year)</t>
  </si>
  <si>
    <t>Indirect cost (£/year)</t>
  </si>
  <si>
    <t>Indirect cost proportion</t>
  </si>
  <si>
    <t>Network rates (£/year)</t>
  </si>
  <si>
    <t>Other expenditure</t>
  </si>
  <si>
    <t>1060. Customer contributions under current connection charging policy</t>
  </si>
  <si>
    <t>Source: analysis of expenditure data and/or survey of capital expenditure schemes.</t>
  </si>
  <si>
    <t>Customer contribution percentages by network level of supply and by asset network level.</t>
  </si>
  <si>
    <t>These proportions should reflect the current connection charging method, not necessarily the method that was in place when the connection was built.</t>
  </si>
  <si>
    <t>Assets
132kV</t>
  </si>
  <si>
    <t>Assets
132kV/EHV</t>
  </si>
  <si>
    <t>Assets
EHV</t>
  </si>
  <si>
    <t>Assets
EHV/HV</t>
  </si>
  <si>
    <t>Assets
132kV/HV</t>
  </si>
  <si>
    <t>Assets
HV</t>
  </si>
  <si>
    <t>Assets
HV/LV</t>
  </si>
  <si>
    <t>Assets
LV circuits</t>
  </si>
  <si>
    <t>LV network</t>
  </si>
  <si>
    <t>LV substation</t>
  </si>
  <si>
    <t>HV network</t>
  </si>
  <si>
    <t>HV substation</t>
  </si>
  <si>
    <t>1061. Average split of rate 1 units by distribution time band</t>
  </si>
  <si>
    <t>Red</t>
  </si>
  <si>
    <t>Amber</t>
  </si>
  <si>
    <t>Green</t>
  </si>
  <si>
    <t>1062. Average split of rate 2 units by distribution time band</t>
  </si>
  <si>
    <t>1064. Average split of rate 1 units by special distribution time band</t>
  </si>
  <si>
    <t>Black</t>
  </si>
  <si>
    <t>Yellow</t>
  </si>
  <si>
    <t>1066. Typical annual hours by special distribution time band</t>
  </si>
  <si>
    <t>Source: definition of distribution time bands.</t>
  </si>
  <si>
    <t>The figures in this table will be automatically adjusted to match the number of days in the charging period.</t>
  </si>
  <si>
    <t>Annual hours</t>
  </si>
  <si>
    <t>1068. Typical annual hours by distribution time band</t>
  </si>
  <si>
    <t>1069. Peaking probabilities by network level</t>
  </si>
  <si>
    <t>Source: analysis of network operation data.</t>
  </si>
  <si>
    <t>Black peaking probabilities</t>
  </si>
  <si>
    <t>1092. Average kVAr by kVA, by network level</t>
  </si>
  <si>
    <t>Source: analysis of operational data.</t>
  </si>
  <si>
    <t>This is the average of MVAr/MVA or SQRT(1-PF^2) across relevant network elements.</t>
  </si>
  <si>
    <t>Average kVAr by kVA, by network level</t>
  </si>
  <si>
    <t>This sheet calculates matrices of loss adjustment factors and of network use factors.</t>
  </si>
  <si>
    <t>These matrices map out the extent to which each type of user uses each level of the network, and are used throughout the workbook.</t>
  </si>
  <si>
    <t>2001. Loss adjustment factors to transmission</t>
  </si>
  <si>
    <t>Data sources:</t>
  </si>
  <si>
    <t>x1 = Network level for each tariff (to get loss factors applicable to capacity) (in Loss adjustment factors to transmission)</t>
  </si>
  <si>
    <t>x2 = 1032. Loss adjustment factors to transmission</t>
  </si>
  <si>
    <t>Kind:</t>
  </si>
  <si>
    <t>Fixed data</t>
  </si>
  <si>
    <t>Sum-product calculation</t>
  </si>
  <si>
    <t>Formula:</t>
  </si>
  <si>
    <t/>
  </si>
  <si>
    <t>=SUMPRODUCT(x1, x2)</t>
  </si>
  <si>
    <t>Network level for each tariff (to get loss factors applicable to capacity)</t>
  </si>
  <si>
    <t>2002. Mapping of DRM network levels to core network levels</t>
  </si>
  <si>
    <t>2003. Loss adjustment factor to transmission for each DRM network level</t>
  </si>
  <si>
    <t>x1 = 2002. Mapping of DRM network levels to core network levels</t>
  </si>
  <si>
    <t>Sum-product calculation =SUMPRODUCT(x1, x2)</t>
  </si>
  <si>
    <t>Loss adjustment factor to transmission for each DRM network level</t>
  </si>
  <si>
    <t>2004. Loss adjustment factor to transmission for each network level</t>
  </si>
  <si>
    <t>x1 = 2003. Loss adjustment factor to transmission for each DRM network level</t>
  </si>
  <si>
    <t>x2 = 1 for GSP level</t>
  </si>
  <si>
    <t>Combine tables = x1 or x2</t>
  </si>
  <si>
    <t>Loss adjustment factor to transmission for each network level</t>
  </si>
  <si>
    <t>2005. Network use factors</t>
  </si>
  <si>
    <t>2006. Proportion going through 132kV/EHV</t>
  </si>
  <si>
    <t>x1 = 1018. Proportion of relevant load going through 132kV/HV direct transformation</t>
  </si>
  <si>
    <t>Calculation =1-x1</t>
  </si>
  <si>
    <t>2007. Proportion going through EHV</t>
  </si>
  <si>
    <t>2008. Proportion going through EHV/HV</t>
  </si>
  <si>
    <t>2009. Rerouteing matrix for all network levels</t>
  </si>
  <si>
    <t>x2 = 2006. Proportion going through 132kV/EHV</t>
  </si>
  <si>
    <t>x3 = 2007. Proportion going through EHV</t>
  </si>
  <si>
    <t>x4 = 2008. Proportion going through EHV/HV</t>
  </si>
  <si>
    <t>x5 = Rerouteing matrix: default elements</t>
  </si>
  <si>
    <t>x6 = Map GSP to GSP</t>
  </si>
  <si>
    <t>Combine tables = x1 or x2 or x3 or x4 or x5 or x6</t>
  </si>
  <si>
    <t>2010. Network use factors: interim step in calculations before adjustments</t>
  </si>
  <si>
    <t>x1 = 2005. Network use factors</t>
  </si>
  <si>
    <t>x2 = 2009. Rerouteing matrix for all network levels</t>
  </si>
  <si>
    <t>2011. Network use factors for all tariffs</t>
  </si>
  <si>
    <t>x1 = Network use factors including 132kV/HV for generation dominated tariffs</t>
  </si>
  <si>
    <t>x2 = Network use factors including 132kV/HV for HV Sub tariffs</t>
  </si>
  <si>
    <t>x3 = 2010. Network use factors: interim step in calculations before adjustments</t>
  </si>
  <si>
    <t>Combine tables = x1 or x2 or x3</t>
  </si>
  <si>
    <t>2012. Loss adjustment factors between end user meter reading and each network level, scaled by network use</t>
  </si>
  <si>
    <t>x1 = 2004. Loss adjustment factor to transmission for each network level</t>
  </si>
  <si>
    <t>x2 = 2011. Network use factors for all tariffs</t>
  </si>
  <si>
    <t>x3 = 2001. Loss adjustment factor to transmission (in Loss adjustment factors to transmission)</t>
  </si>
  <si>
    <t>Calculation =IF(x1="",x2,x2*x3/x1)</t>
  </si>
  <si>
    <t>This sheet collects data from a network model and calculates aggregated annuitised unit costs from these data.</t>
  </si>
  <si>
    <t>2101. Annuity rate</t>
  </si>
  <si>
    <t>x1 = 1010. Rate of return (in Financial and general assumptions)</t>
  </si>
  <si>
    <t>x2 = 1010. Annualisation period (years) (in Financial and general assumptions)</t>
  </si>
  <si>
    <t>x3 = 1010. Days in the charging year (in Financial and general assumptions)</t>
  </si>
  <si>
    <t>Calculation =PMT(x1,x2,-1)*IF(OR(x3&gt;366,x3&lt;365),x3/365.25,1)</t>
  </si>
  <si>
    <t>Annuity rate</t>
  </si>
  <si>
    <t>2102. Loss adjustment factor to transmission for each core level</t>
  </si>
  <si>
    <t>x1 = 1032. Loss adjustment factors to transmission</t>
  </si>
  <si>
    <t>Loss adjustment factor to transmission for each core level</t>
  </si>
  <si>
    <t>2103. Loss adjustment factors</t>
  </si>
  <si>
    <t>x1 = 2102. Loss adjustment factor to transmission for each core level</t>
  </si>
  <si>
    <t>x2 = Loss adjustment factor to transmission for network level exit (in Loss adjustment factors)</t>
  </si>
  <si>
    <t>Copy cells</t>
  </si>
  <si>
    <t>Special copy</t>
  </si>
  <si>
    <t>=x1</t>
  </si>
  <si>
    <t>= x2</t>
  </si>
  <si>
    <t>Loss adjustment factor to transmission for network level exit</t>
  </si>
  <si>
    <t>Loss adjustment factor to transmission for network level entry</t>
  </si>
  <si>
    <t>2104. Diversity calculations</t>
  </si>
  <si>
    <t>x1 = 1017. Diversity allowance between top and bottom of network level</t>
  </si>
  <si>
    <t>x2 = Coincidence to system peak at level exit (in Diversity calculations)</t>
  </si>
  <si>
    <t>Special calculation</t>
  </si>
  <si>
    <t>=previous/(1+x1)</t>
  </si>
  <si>
    <t>=1/x2-1</t>
  </si>
  <si>
    <t>Coincidence to GSP peak at level exit</t>
  </si>
  <si>
    <t>Coincidence to system peak at level exit</t>
  </si>
  <si>
    <t>Diversity allowance between level exit and GSP Group</t>
  </si>
  <si>
    <t>2105. Network model total maximum demand at substation (MW)</t>
  </si>
  <si>
    <t>x1 = 1019. Network model GSP peak demand (MW)</t>
  </si>
  <si>
    <t>x2 = 2104. Coincidence to GSP peak at level exit (in Diversity calculations)</t>
  </si>
  <si>
    <t>Calculation =x1/x2</t>
  </si>
  <si>
    <t>Network model total maximum demand at substation (MW)</t>
  </si>
  <si>
    <t>2106. Network model contribution to system maximum load measured at network level exit (MW)</t>
  </si>
  <si>
    <t>x1 = 2105. Network model total maximum demand at substation (MW)</t>
  </si>
  <si>
    <t>x2 = 2104. Coincidence to system peak at level exit (in Diversity calculations)</t>
  </si>
  <si>
    <t>x3 = 2103. Loss adjustment factor to transmission for network level exit (in Loss adjustment factors)</t>
  </si>
  <si>
    <t>Calculation =x1*x2/x3</t>
  </si>
  <si>
    <t>Network model contribution to system maximum load measured at network level exit (MW)</t>
  </si>
  <si>
    <t>2107. Rerouteing matrix for DRM network levels</t>
  </si>
  <si>
    <t>Combine tables = x1 or x2 or x3 or x4 or x5</t>
  </si>
  <si>
    <t>2108. GSP simultaneous maximum load assumed through each network level (MW)</t>
  </si>
  <si>
    <t>x1 = 2106. Network model contribution to system maximum load measured at network level exit (MW)</t>
  </si>
  <si>
    <t>x2 = 2107. Rerouteing matrix for DRM network levels</t>
  </si>
  <si>
    <t>GSP simultaneous maximum load assumed through each network level (MW)</t>
  </si>
  <si>
    <t>2109. Network model annuity by simultaneous maximum load for each network level (£/kW/year)</t>
  </si>
  <si>
    <t>x1 = 2108. GSP simultaneous maximum load assumed through each network level (MW)</t>
  </si>
  <si>
    <t>x2 = 1020. Gross asset cost by network level (£)</t>
  </si>
  <si>
    <t>x3 = 2101. Annuity rate</t>
  </si>
  <si>
    <t>Calculation =IF(x1,0.001*x2*x3/x1,0)</t>
  </si>
  <si>
    <t>Model £/kW SML</t>
  </si>
  <si>
    <t>Assets 132kV</t>
  </si>
  <si>
    <t>Assets 132kV/EHV</t>
  </si>
  <si>
    <t>Assets EHV</t>
  </si>
  <si>
    <t>Assets EHV/HV</t>
  </si>
  <si>
    <t>Assets 132kV/HV</t>
  </si>
  <si>
    <t>Assets HV</t>
  </si>
  <si>
    <t>Assets HV/LV</t>
  </si>
  <si>
    <t>Assets LV circuits</t>
  </si>
  <si>
    <t>This sheet collects and processes data from the service models.</t>
  </si>
  <si>
    <t>2201. Asset £/customer from LV service models</t>
  </si>
  <si>
    <t>x1 = 1025. Matrix of applicability of LV service models to tariffs with fixed charges</t>
  </si>
  <si>
    <t>x2 = 1022. LV service model asset cost (£)</t>
  </si>
  <si>
    <t>Assets
LV customer</t>
  </si>
  <si>
    <t>2202. Asset £/(MWh/year) from LV service models</t>
  </si>
  <si>
    <t>x1 = 1026. Matrix of applicability of LV service models to unmetered tariffs</t>
  </si>
  <si>
    <t>Asset £/(MWh/year) from LV service models</t>
  </si>
  <si>
    <t>2203. Service model asset p/kWh charge for unmetered tariffs</t>
  </si>
  <si>
    <t>x1 = 1010. Annuity proportion for customer-contributed assets (in Financial and general assumptions)</t>
  </si>
  <si>
    <t>x2 = 2202. Asset £/(MWh/year) from LV service models</t>
  </si>
  <si>
    <t>Calculation =0.1*x1*x2*x3</t>
  </si>
  <si>
    <t>Service model asset p/kWh charge for unmetered tariffs</t>
  </si>
  <si>
    <t>2204. Asset £/customer from HV service models</t>
  </si>
  <si>
    <t>x1 = 1028. Matrix of applicability of HV service models to tariffs with fixed charges</t>
  </si>
  <si>
    <t>x2 = 1023. HV service model asset cost (£)</t>
  </si>
  <si>
    <t>Assets
HV customer</t>
  </si>
  <si>
    <t>2205. Service model assets by tariff (£)</t>
  </si>
  <si>
    <t>x1 = 2201. Asset £/customer from LV service models</t>
  </si>
  <si>
    <t>x2 = 2204. Asset £/customer from HV service models</t>
  </si>
  <si>
    <t>2206. Replacement annuities for service models</t>
  </si>
  <si>
    <t>x1 = 1010. Days in the charging year (in Financial and general assumptions)</t>
  </si>
  <si>
    <t>x2 = 2205. Service model assets by tariff (£)</t>
  </si>
  <si>
    <t>x4 = 1010. Annuity proportion for customer-contributed assets (in Financial and general assumptions)</t>
  </si>
  <si>
    <t>x5 = Service model p/MPAN/day charge (in Replacement annuities for service models)</t>
  </si>
  <si>
    <t>Calculation</t>
  </si>
  <si>
    <t>Cell summation</t>
  </si>
  <si>
    <t>=100/x1*x2*x3*x4</t>
  </si>
  <si>
    <t>=SUM(x5)</t>
  </si>
  <si>
    <t>Service model p/MPAN/day charge</t>
  </si>
  <si>
    <t>Service model p/MPAN/day</t>
  </si>
  <si>
    <t>This sheet compiles information about the assumed characteristics of network users.</t>
  </si>
  <si>
    <t>A load factor represents the average load of a user or user group, relative to the maximum load level of that user or</t>
  </si>
  <si>
    <t>user group. Load factors are numbers between 0 and 1.</t>
  </si>
  <si>
    <t>A coincidence factor represents the expectation value of the load of a user or user group at the time of system maximum load,</t>
  </si>
  <si>
    <t>relative to the maximum load level of that user or user group.  Coincidence factors are numbers between 0 and 1.</t>
  </si>
  <si>
    <t>A load coefficient is the expectation value of the load of a user or user group at the time of system maximum load, relative to the average load level of that user or user group.</t>
  </si>
  <si>
    <t>For demand users, the load coefficient is a demand coefficient and can be calculated as the ratio of the coincidence factor to the load factor.</t>
  </si>
  <si>
    <t>2301. Demand coefficient (load at time of system maximum load divided by average load)</t>
  </si>
  <si>
    <t>x1 = 1041. Coincidence factor to system maximum load for each type of demand user (in Load profile data for demand users)</t>
  </si>
  <si>
    <t>x2 = 1041. Load factor for each type of demand user (in Load profile data for demand users)</t>
  </si>
  <si>
    <t>Demand coefficient</t>
  </si>
  <si>
    <t>2302. Load coefficient</t>
  </si>
  <si>
    <t>x1 = 2301. Demand coefficient (load at time of system maximum load divided by average load)</t>
  </si>
  <si>
    <t>x2 = Negative of generation coefficient; set to -1</t>
  </si>
  <si>
    <t>Load coefficient</t>
  </si>
  <si>
    <t>2303. Discount map</t>
  </si>
  <si>
    <t>2304. LDNO discounts and volumes adjusted for discount</t>
  </si>
  <si>
    <t>x1 = 2303. Discount map</t>
  </si>
  <si>
    <t>x2 = 1037. Embedded network (LDNO) discounts</t>
  </si>
  <si>
    <t>x3 = 100 per cent discount for generators on LDNO networks</t>
  </si>
  <si>
    <t>x4 = Discount for each tariff (except for fixed charges) (in LDNO discounts and volumes adjusted for discount)</t>
  </si>
  <si>
    <t>x5 = 1053. Rate 1 units (MWh) by tariff (in Volume forecasts for the charging year)</t>
  </si>
  <si>
    <t>x6 = 1053. Rate 2 units (MWh) by tariff (in Volume forecasts for the charging year)</t>
  </si>
  <si>
    <t>x7 = 1053. Rate 3 units (MWh) by tariff (in Volume forecasts for the charging year)</t>
  </si>
  <si>
    <t>x8 = 1053. MPANs by tariff (in Volume forecasts for the charging year)</t>
  </si>
  <si>
    <t>x9 = Discount for each tariff for fixed charges only (in LDNO discounts and volumes adjusted for discount)</t>
  </si>
  <si>
    <t>x10 = 1053. Import capacity (kVA) by tariff (in Volume forecasts for the charging year)</t>
  </si>
  <si>
    <t>x11 = 1053. Reactive power units (MVArh) by tariff (in Volume forecasts for the charging year)</t>
  </si>
  <si>
    <t>Combine tables</t>
  </si>
  <si>
    <t>= x3 or x4</t>
  </si>
  <si>
    <t>=x5*(1-x4)</t>
  </si>
  <si>
    <t>=x6*(1-x4)</t>
  </si>
  <si>
    <t>=x7*(1-x4)</t>
  </si>
  <si>
    <t>=x8*(1-x9)</t>
  </si>
  <si>
    <t>=x10*(1-x4)</t>
  </si>
  <si>
    <t>=x11*(1-x4)</t>
  </si>
  <si>
    <t>Discount for each tariff (except for fixed charges)</t>
  </si>
  <si>
    <t>Discount for each tariff for fixed charges only</t>
  </si>
  <si>
    <t>2305. Equivalent volume for each end user</t>
  </si>
  <si>
    <t>x1 = 2304. Rate 1 units (MWh) (in LDNO discounts and volumes adjusted for discount)</t>
  </si>
  <si>
    <t>x2 = 2304. Rate 2 units (MWh) (in LDNO discounts and volumes adjusted for discount)</t>
  </si>
  <si>
    <t>x3 = 2304. Rate 3 units (MWh) (in LDNO discounts and volumes adjusted for discount)</t>
  </si>
  <si>
    <t>x4 = 2304. MPANs (in LDNO discounts and volumes adjusted for discount)</t>
  </si>
  <si>
    <t>x5 = 2304. Import capacity (kVA) (in LDNO discounts and volumes adjusted for discount)</t>
  </si>
  <si>
    <t>x6 = 2304. Reactive power units (MVArh) (in LDNO discounts and volumes adjusted for discount)</t>
  </si>
  <si>
    <t>=SUM(x1)</t>
  </si>
  <si>
    <t>=SUM(x2)</t>
  </si>
  <si>
    <t>=SUM(x3)</t>
  </si>
  <si>
    <t>=SUM(x4)</t>
  </si>
  <si>
    <t>=SUM(x6)</t>
  </si>
  <si>
    <t>2401. Adjust annual hours by distribution time band to match days in year</t>
  </si>
  <si>
    <t>x1 = 1068. Typical annual hours by distribution time band</t>
  </si>
  <si>
    <t>x2 = 1010. Days in the charging year (in Financial and general assumptions)</t>
  </si>
  <si>
    <t>x3 = Total hours in the year according to time band hours input data (in Adjust annual hours by distribution time band to match days in year)</t>
  </si>
  <si>
    <t>=x1*24*x2/x3</t>
  </si>
  <si>
    <t>Hours aggregate</t>
  </si>
  <si>
    <t>Annual hours by distribution time band (reconciled to days in year)</t>
  </si>
  <si>
    <t>Adjust annual hours by distribution time band to match days in year</t>
  </si>
  <si>
    <t>2402. Normalisation of split of rate 1 units by time band</t>
  </si>
  <si>
    <t>x1 = 1061. Average split of rate 1 units by distribution time band</t>
  </si>
  <si>
    <t>x2 = Total split (in Normalisation of split of rate 1 units by time band)</t>
  </si>
  <si>
    <t>x3 = 2401. Annual hours by distribution time band (reconciled to days in year) (in Adjust annual hours by distribution time band to match days in year)</t>
  </si>
  <si>
    <t>x4 = 1010. Days in the charging year (in Financial and general assumptions)</t>
  </si>
  <si>
    <t>=IF(x2,x1/x2,x3/x4/24)</t>
  </si>
  <si>
    <t>Total split</t>
  </si>
  <si>
    <t>Normalised split of rate 1 units by distribution time band</t>
  </si>
  <si>
    <t>2403. Split of rate 1 units between distribution time bands</t>
  </si>
  <si>
    <t>x1 = 2402. Normalised split of rate 1 units by distribution time band (in Normalisation of split of rate 1 units by time band)</t>
  </si>
  <si>
    <t>x2 = Split of rate 1 units between distribution time bands (default)</t>
  </si>
  <si>
    <t>2404. Normalisation of split of rate 2 units by time band</t>
  </si>
  <si>
    <t>x1 = 1062. Average split of rate 2 units by distribution time band</t>
  </si>
  <si>
    <t>x2 = Total split (in Normalisation of split of rate 2 units by time band)</t>
  </si>
  <si>
    <t>Normalised split of rate 2 units by distribution time band</t>
  </si>
  <si>
    <t>2405. Split of rate 2 units between distribution time bands</t>
  </si>
  <si>
    <t>x1 = 2404. Normalised split of rate 2 units by distribution time band (in Normalisation of split of rate 2 units by time band)</t>
  </si>
  <si>
    <t>x2 = Split of rate 2 units between distribution time bands (default)</t>
  </si>
  <si>
    <t>2406. Split of rate 3 units between distribution time bands (default)</t>
  </si>
  <si>
    <t>2407. All units (MWh)</t>
  </si>
  <si>
    <t>x1 = 2305. Rate 1 units (MWh) (in Equivalent volume for each end user)</t>
  </si>
  <si>
    <t>x2 = 2305. Rate 2 units (MWh) (in Equivalent volume for each end user)</t>
  </si>
  <si>
    <t>x3 = 2305. Rate 3 units (MWh) (in Equivalent volume for each end user)</t>
  </si>
  <si>
    <t>Calculation =x1+x2+x3</t>
  </si>
  <si>
    <t>All units (MWh)</t>
  </si>
  <si>
    <t>x1 = 2407. All units (MWh)</t>
  </si>
  <si>
    <t>x2 = 2305. Rate 1 units (MWh) (in Equivalent volume for each end user)</t>
  </si>
  <si>
    <t>x3 = 2403. Split of rate 1 units between distribution time bands</t>
  </si>
  <si>
    <t>x4 = 2305. Rate 2 units (MWh) (in Equivalent volume for each end user)</t>
  </si>
  <si>
    <t>x5 = 2405. Split of rate 2 units between distribution time bands</t>
  </si>
  <si>
    <t>x6 = 2401. Annual hours by distribution time band (reconciled to days in year) (in Adjust annual hours by distribution time band to match days in year)</t>
  </si>
  <si>
    <t>x7 = Use of distribution time bands by units in demand forecast for two-rate tariffs (in Calculation of implied load coefficients for two-rate users)</t>
  </si>
  <si>
    <t>x8 = 1010. Days in the charging year (in Financial and general assumptions)</t>
  </si>
  <si>
    <t>=IF(x1&gt;0,(x2*x3+x4*x5)/x1,0)</t>
  </si>
  <si>
    <t>=IF(x6&gt;0,x7*x8*24/x6,0)</t>
  </si>
  <si>
    <t>Use of distribution time bands by units in demand forecast for two-rate tariffs</t>
  </si>
  <si>
    <t>x6 = 2305. Rate 3 units (MWh) (in Equivalent volume for each end user)</t>
  </si>
  <si>
    <t>x7 = 2406. Split of rate 3 units between distribution time bands (default)</t>
  </si>
  <si>
    <t>x8 = 2401. Annual hours by distribution time band (reconciled to days in year) (in Adjust annual hours by distribution time band to match days in year)</t>
  </si>
  <si>
    <t>x9 = Use of distribution time bands by units in demand forecast for three-rate tariffs (in Calculation of implied load coefficients for three-rate users)</t>
  </si>
  <si>
    <t>x10 = 1010. Days in the charging year (in Financial and general assumptions)</t>
  </si>
  <si>
    <t>=IF(x1&gt;0,(x2*x3+x4*x5+x6*x7)/x1,0)</t>
  </si>
  <si>
    <t>=IF(x8&gt;0,x9*x10*24/x8,0)</t>
  </si>
  <si>
    <t>Use of distribution time bands by units in demand forecast for three-rate tariffs</t>
  </si>
  <si>
    <t>= x1 or x2</t>
  </si>
  <si>
    <t>Load coefficient correction factor (kW at peak in band / band average kW)</t>
  </si>
  <si>
    <t>x1 = 1069. Red, amber and green peaking probabilities (in Peaking probabilities by network level)</t>
  </si>
  <si>
    <t>x2 = Total probability (should be 100%) (in Normalisation of peaking probabilities)</t>
  </si>
  <si>
    <t>x3 = 1068. Typical annual hours by distribution time band</t>
  </si>
  <si>
    <t>x4 = 2401. Total hours in the year according to time band hours input data (in Adjust annual hours by distribution time band to match days in year)</t>
  </si>
  <si>
    <t>=IF(x2,x1/x2,x3/x4)</t>
  </si>
  <si>
    <t>Total probability (should be 100%)</t>
  </si>
  <si>
    <t>Normalised peaking probabilities</t>
  </si>
  <si>
    <t>Reshape table = x1</t>
  </si>
  <si>
    <t>Probability of peak within timeband</t>
  </si>
  <si>
    <t>x1 = 2401. Annual hours by distribution time band (reconciled to days in year) (in Adjust annual hours by distribution time band to match days in year)</t>
  </si>
  <si>
    <t>Calculation =IF(x1&gt;0,x2*x3*24*x4/x1,0)</t>
  </si>
  <si>
    <t>x2 = 2403. Split of rate 1 units between distribution time bands</t>
  </si>
  <si>
    <t>x2 = 2405. Split of rate 2 units between distribution time bands</t>
  </si>
  <si>
    <t>x2 = 2406. Split of rate 3 units between distribution time bands (default)</t>
  </si>
  <si>
    <t>x1 = 1066. Typical annual hours by special distribution time band</t>
  </si>
  <si>
    <t>x3 = Total hours in the year according to special time band hours input data (in Adjust annual hours by special distribution time band to match days in year)</t>
  </si>
  <si>
    <t>Annual hours by special distribution time band (reconciled to days in year)</t>
  </si>
  <si>
    <t>Adjust annual hours by special distribution time band to match days in year</t>
  </si>
  <si>
    <t>x1 = 1064. Average split of rate 1 units by special distribution time band</t>
  </si>
  <si>
    <t>x2 = Total split (in Normalisation of split of rate 1 units by special time band)</t>
  </si>
  <si>
    <t>Normalised split of rate 1 units by special distribution time band</t>
  </si>
  <si>
    <t>x2 = Split of rate 1 units between special distribution time bands (default)</t>
  </si>
  <si>
    <t>x5 = Use of special distribution time bands by units in demand forecast for one-rate tariffs (in Calculation of implied special load coefficients for one-rate users)</t>
  </si>
  <si>
    <t>x6 = 1010. Days in the charging year (in Financial and general assumptions)</t>
  </si>
  <si>
    <t>=IF(x1&gt;0,(x2*x3)/x1,0)</t>
  </si>
  <si>
    <t>=IF(x4&gt;0,x5*x6*24/x4,0)</t>
  </si>
  <si>
    <t>Use of special distribution time bands by units in demand forecast for one-rate tariffs</t>
  </si>
  <si>
    <t>x9 = Use of special distribution time bands by units in demand forecast for three-rate tariffs (in Calculation of implied special load coefficients for three-rate users)</t>
  </si>
  <si>
    <t>Use of special distribution time bands by units in demand forecast for three-rate tariffs</t>
  </si>
  <si>
    <t>x4 = 2407. All units (MWh)</t>
  </si>
  <si>
    <t>x5 = 1010. Days in the charging year (in Financial and general assumptions)</t>
  </si>
  <si>
    <t>x6 = 2302. Load coefficient</t>
  </si>
  <si>
    <t>=x3*x4/24/x5*1000</t>
  </si>
  <si>
    <t>=x6*x4/24/x5*1000</t>
  </si>
  <si>
    <t>Contribution to system-peak-time kW</t>
  </si>
  <si>
    <t>x2 = Amber peaking probabilities (in Calculation of special peaking probabilities)</t>
  </si>
  <si>
    <t>x4 = 2401. Annual hours by distribution time band (reconciled to days in year) (in Adjust annual hours by distribution time band to match days in year)</t>
  </si>
  <si>
    <t>x5 = 1069. Black peaking probabilities (in Peaking probabilities by network level)</t>
  </si>
  <si>
    <t>x6 = Red peaking probabilities (in Calculation of special peaking probabilities)</t>
  </si>
  <si>
    <t>x7 = Amber peaking rates (in Calculation of special peaking probabilities)</t>
  </si>
  <si>
    <t>x9 = Yellow peaking probabilities (in Calculation of special peaking probabilities)</t>
  </si>
  <si>
    <t>x10 = Green peaking probabilities (in Calculation of special peaking probabilities)</t>
  </si>
  <si>
    <t>=x2*24*x3/x4</t>
  </si>
  <si>
    <t>=IF(x5,x2+x6-x5,x7*x8/x3/24)</t>
  </si>
  <si>
    <t>=1-x9-x10</t>
  </si>
  <si>
    <t>Red peaking probabilities</t>
  </si>
  <si>
    <t>Amber peaking probabilities</t>
  </si>
  <si>
    <t>Green peaking probabilities</t>
  </si>
  <si>
    <t>Amber peaking rates</t>
  </si>
  <si>
    <t>Yellow peaking probabilities</t>
  </si>
  <si>
    <t>2501. Contributions of users on one-rate multi tariffs to system simultaneous maximum load by network level (kW)</t>
  </si>
  <si>
    <t>x3 = 2012. Loss adjustment factors between end user meter reading and each network level, scaled by network use</t>
  </si>
  <si>
    <t>Calculation =(x1*x2)*x3/(24*x4)*1000</t>
  </si>
  <si>
    <t>2502. Contributions of users on two-rate multi tariffs to system simultaneous maximum load by network level (kW)</t>
  </si>
  <si>
    <t>x3 = 2305. Rate 2 units (MWh) (in Equivalent volume for each end user)</t>
  </si>
  <si>
    <t>x5 = 2012. Loss adjustment factors between end user meter reading and each network level, scaled by network use</t>
  </si>
  <si>
    <t>Calculation =(x1*x2+x3*x4)*x5/(24*x6)*1000</t>
  </si>
  <si>
    <t>2503. Contributions of users on three-rate multi tariffs to system simultaneous maximum load by network level (kW)</t>
  </si>
  <si>
    <t>x5 = 2305. Rate 3 units (MWh) (in Equivalent volume for each end user)</t>
  </si>
  <si>
    <t>x7 = 2012. Loss adjustment factors between end user meter reading and each network level, scaled by network use</t>
  </si>
  <si>
    <t>Calculation =(x1*x2+x3*x4+x5*x6)*x7/(24*x8)*1000</t>
  </si>
  <si>
    <t>2504. Estimated contributions of users on each tariff to system simultaneous maximum load by network level (kW)</t>
  </si>
  <si>
    <t>x2 = 2302. Load coefficient</t>
  </si>
  <si>
    <t>Calculation =x1*x2*x3/(24*x4)*1000</t>
  </si>
  <si>
    <t>2505. Contributions of users on each tariff to system simultaneous maximum load by network level (kW)</t>
  </si>
  <si>
    <t>x1 = 2501. Contributions of users on one-rate multi tariffs to system simultaneous maximum load by network level (kW)</t>
  </si>
  <si>
    <t>x2 = 2502. Contributions of users on two-rate multi tariffs to system simultaneous maximum load by network level (kW)</t>
  </si>
  <si>
    <t>x3 = 2503. Contributions of users on three-rate multi tariffs to system simultaneous maximum load by network level (kW)</t>
  </si>
  <si>
    <t>x4 = 2504. Estimated contributions of users on each tariff to system simultaneous maximum load by network level (kW)</t>
  </si>
  <si>
    <t>Combine tables = x1 or x2 or x3 or x4</t>
  </si>
  <si>
    <t>2506. Forecast system simultaneous maximum load (kW) from forecast units</t>
  </si>
  <si>
    <t>x1 = 2505. Contributions of users on each tariff to system simultaneous maximum load by network level (kW)</t>
  </si>
  <si>
    <t>Cell summation =SUM(x1)</t>
  </si>
  <si>
    <t>Forecast system simultaneous maximum load (kW) from forecast units</t>
  </si>
  <si>
    <t>2601. Pre-processing of data for standing charge factors</t>
  </si>
  <si>
    <t>x1 = Standing charges factors (in Pre-processing of data for standing charge factors)</t>
  </si>
  <si>
    <t>x2 = 1018. Proportion of relevant load going through 132kV/HV direct transformation</t>
  </si>
  <si>
    <t>x3 = Standing charges factors for 132kV/HV (in Pre-processing of data for standing charge factors)</t>
  </si>
  <si>
    <t>=x1+0.2*x2*x3</t>
  </si>
  <si>
    <t>Standing charges factors</t>
  </si>
  <si>
    <t>Standing charges factors for 132kV/HV</t>
  </si>
  <si>
    <t>Adjusted standing charges factors for 132kV</t>
  </si>
  <si>
    <t>2602. Standing charges factors adapted to use 132kV/HV</t>
  </si>
  <si>
    <t>x1 = 2601. Standing charges factors for 132kV/HV (in Pre-processing of data for standing charge factors)</t>
  </si>
  <si>
    <t>x2 = 2601. Adjusted standing charges factors for 132kV (in Pre-processing of data for standing charge factors)</t>
  </si>
  <si>
    <t>x3 = 2601. Standing charges factors (in Pre-processing of data for standing charge factors)</t>
  </si>
  <si>
    <t>2603. Capacity-based contributions to chargeable aggregate maximum load by network level (kW)</t>
  </si>
  <si>
    <t>x1 = 2305. Import capacity (kVA) (in Equivalent volume for each end user)</t>
  </si>
  <si>
    <t>x2 = 1010. Power factor for all flows in the network model (in Financial and general assumptions)</t>
  </si>
  <si>
    <t>x3 = 2602. Standing charges factors adapted to use 132kV/HV</t>
  </si>
  <si>
    <t>x4 = 2012. Loss adjustment factors between end user meter reading and each network level, scaled by network use</t>
  </si>
  <si>
    <t>Calculation =x1*x2*x3*x4</t>
  </si>
  <si>
    <t>2604. Unit-based contributions to chargeable aggregate maximum load (kW)</t>
  </si>
  <si>
    <t>Calculation =x1/x2*x3*x4/(24*x5)*1000</t>
  </si>
  <si>
    <t>2605. Contributions to aggregate maximum load by network level (kW)</t>
  </si>
  <si>
    <t>x1 = 2603. Capacity-based contributions to chargeable aggregate maximum load by network level (kW)</t>
  </si>
  <si>
    <t>x2 = 2604. Unit-based contributions to chargeable aggregate maximum load (kW)</t>
  </si>
  <si>
    <t>2606. Forecast chargeable aggregate maximum load (kW)</t>
  </si>
  <si>
    <t>x1 = 2605. Contributions to aggregate maximum load by network level (kW)</t>
  </si>
  <si>
    <t>Forecast chargeable aggregate maximum load (kW)</t>
  </si>
  <si>
    <t>2607. Forecast simultaneous load subject to standing charge factors (kW)</t>
  </si>
  <si>
    <t>x2 = 2602. Standing charges factors adapted to use 132kV/HV</t>
  </si>
  <si>
    <t>Calculation =x1*x2</t>
  </si>
  <si>
    <t>2608. Forecast simultaneous load replaced by standing charge (kW)</t>
  </si>
  <si>
    <t>x1 = 2607. Forecast simultaneous load subject to standing charge factors (kW)</t>
  </si>
  <si>
    <t>Forecast simultaneous load replaced by standing charge (kW)</t>
  </si>
  <si>
    <t>2609. Calculated LV diversity allowance</t>
  </si>
  <si>
    <t>x1 = 2606. Forecast chargeable aggregate maximum load (kW)</t>
  </si>
  <si>
    <t>x2 = 2608. Forecast simultaneous load replaced by standing charge (kW)</t>
  </si>
  <si>
    <t>Calculation =x1/x2-1</t>
  </si>
  <si>
    <t>Calculated LV diversity allowance</t>
  </si>
  <si>
    <t>2610. Network level mapping for diversity allowances</t>
  </si>
  <si>
    <t>2611. Diversity allowances including 132kV/HV</t>
  </si>
  <si>
    <t>x1 = 2104. Diversity allowance between level exit and GSP Group (in Diversity calculations)</t>
  </si>
  <si>
    <t>x2 = 2610. Network level mapping for diversity allowances</t>
  </si>
  <si>
    <t>Diversity allowances including 132kV/HV</t>
  </si>
  <si>
    <t>2612. Diversity allowances (including calculated LV value)</t>
  </si>
  <si>
    <t>x1 = 2609. Calculated LV diversity allowance</t>
  </si>
  <si>
    <t>x2 = 2611. Diversity allowances including 132kV/HV</t>
  </si>
  <si>
    <t>Diversity allowances (including calculated LV value)</t>
  </si>
  <si>
    <t>2613. Forecast simultaneous maximum load (kW) adjusted for standing charges</t>
  </si>
  <si>
    <t>x1 = 2506. Forecast system simultaneous maximum load (kW) from forecast units</t>
  </si>
  <si>
    <t>x3 = 2606. Forecast chargeable aggregate maximum load (kW)</t>
  </si>
  <si>
    <t>x4 = 2612. Diversity allowances (including calculated LV value)</t>
  </si>
  <si>
    <t>Calculation =x1-x2+x3/(1+x4)</t>
  </si>
  <si>
    <t>Forecast simultaneous maximum load (kW) adjusted for standing charges</t>
  </si>
  <si>
    <t>2701. Operating expenditure coded by network level (£/year)</t>
  </si>
  <si>
    <t>x1 = 1055. Transmission exit charges (£/year)</t>
  </si>
  <si>
    <t>x2 = Zero for levels other than transmission exit</t>
  </si>
  <si>
    <t>Operating
132kV</t>
  </si>
  <si>
    <t>Operating
132kV/EHV</t>
  </si>
  <si>
    <t>Operating
EHV</t>
  </si>
  <si>
    <t>Operating
EHV/HV</t>
  </si>
  <si>
    <t>Operating
132kV/HV</t>
  </si>
  <si>
    <t>Operating
HV</t>
  </si>
  <si>
    <t>Operating
HV/LV</t>
  </si>
  <si>
    <t>Operating
LV circuits</t>
  </si>
  <si>
    <t>Operating
LV customer</t>
  </si>
  <si>
    <t>Operating
HV customer</t>
  </si>
  <si>
    <t>Operating expenditure coded by network level (£/year)</t>
  </si>
  <si>
    <t>2702. Network model assets (£) scaled by load forecast</t>
  </si>
  <si>
    <t>x2 = 2613. Forecast simultaneous maximum load (kW) adjusted for standing charges</t>
  </si>
  <si>
    <t>x3 = 1020. Gross asset cost by network level (£)</t>
  </si>
  <si>
    <t>Calculation =IF(x1,x2*x3/x1/1000,0)</t>
  </si>
  <si>
    <t>Network model assets (£) scaled by load forecast</t>
  </si>
  <si>
    <t>2703. Annual consumption by tariff for unmetered users (MWh)</t>
  </si>
  <si>
    <t>Copy cells = x1</t>
  </si>
  <si>
    <t>Annual consumption by tariff for unmetered users (MWh)</t>
  </si>
  <si>
    <t>2704. Total unmetered units</t>
  </si>
  <si>
    <t>x1 = 2703. Annual consumption by tariff for unmetered users (MWh)</t>
  </si>
  <si>
    <t>Total unmetered units</t>
  </si>
  <si>
    <t>2705. Service model asset data</t>
  </si>
  <si>
    <t>x1 = 2205. Service model assets by tariff (£)</t>
  </si>
  <si>
    <t>x2 = 2305. MPANs (in Equivalent volume for each end user)</t>
  </si>
  <si>
    <t>x3 = 2202. Asset £/(MWh/year) from LV service models</t>
  </si>
  <si>
    <t>x4 = 2704. Total unmetered units</t>
  </si>
  <si>
    <t>x5 = Service model assets (£) scaled by annual MWh (in Service model asset data)</t>
  </si>
  <si>
    <t>x6 = Service model assets (£) scaled by user count (in Service model asset data)</t>
  </si>
  <si>
    <t>x7 = Service model assets (£) scaled by annual MWh (in Service model asset data)</t>
  </si>
  <si>
    <t>=x3*x4</t>
  </si>
  <si>
    <t>= x5</t>
  </si>
  <si>
    <t>=x6+x7</t>
  </si>
  <si>
    <t>Service model assets (£) scaled by user count</t>
  </si>
  <si>
    <t>Service model assets (£) scaled by annual MWh</t>
  </si>
  <si>
    <t>Service model assets (£)</t>
  </si>
  <si>
    <t>Service model asset data</t>
  </si>
  <si>
    <t>2706. Data for allocation of operating expenditure</t>
  </si>
  <si>
    <t>x1 = 2702. Network model assets (£) scaled by load forecast</t>
  </si>
  <si>
    <t>x2 = 2705. Service model assets (£) (in Service model asset data)</t>
  </si>
  <si>
    <t>x3 = Model assets (£) scaled by demand forecast (in Data for allocation of operating expenditure)</t>
  </si>
  <si>
    <t>Model assets (£) scaled by demand forecast</t>
  </si>
  <si>
    <t>Denominator for allocation of operating expenditure</t>
  </si>
  <si>
    <t>Data for allocation of operating expenditure</t>
  </si>
  <si>
    <t>2707. Amount of expenditure to be allocated according to asset values (£/year)</t>
  </si>
  <si>
    <t>x1 = 1059. Direct cost (£/year) (in Other expenditure)</t>
  </si>
  <si>
    <t>x2 = 1059. Network rates (£/year) (in Other expenditure)</t>
  </si>
  <si>
    <t>x3 = 1059. Indirect cost (£/year) (in Other expenditure)</t>
  </si>
  <si>
    <t>x4 = 1059. Indirect cost proportion (in Other expenditure)</t>
  </si>
  <si>
    <t>Calculation =x1+x2+x3*x4</t>
  </si>
  <si>
    <t>Amount of expenditure to be allocated according to asset values (£/year)</t>
  </si>
  <si>
    <t>2708. Total operating expenditure by network level  (£/year)</t>
  </si>
  <si>
    <t>x1 = 2701. Operating expenditure coded by network level (£/year)</t>
  </si>
  <si>
    <t>x2 = 2707. Amount of expenditure to be allocated according to asset values (£/year)</t>
  </si>
  <si>
    <t>x3 = 2706. Denominator for allocation of operating expenditure (in Data for allocation of operating expenditure)</t>
  </si>
  <si>
    <t>x4 = 2706. Model assets (£) scaled by demand forecast (in Data for allocation of operating expenditure)</t>
  </si>
  <si>
    <t>Calculation =x1+x2/x3*x4</t>
  </si>
  <si>
    <t>Total operating expenditure by network level  (£/year)</t>
  </si>
  <si>
    <t>2709. Operating expenditure percentage by network level</t>
  </si>
  <si>
    <t>x1 = 2706. Model assets (£) scaled by demand forecast (in Data for allocation of operating expenditure)</t>
  </si>
  <si>
    <t>x2 = 2708. Total operating expenditure by network level  (£/year)</t>
  </si>
  <si>
    <t>Calculation =IF(x1="","",IF(x1&gt;0,x2/x1,0))</t>
  </si>
  <si>
    <t>Operating expenditure percentage by network level</t>
  </si>
  <si>
    <t>2710. Unit operating expenditure based on simultaneous maximum load (£/kW/year)</t>
  </si>
  <si>
    <t>x1 = 2613. Forecast simultaneous maximum load (kW) adjusted for standing charges</t>
  </si>
  <si>
    <t>Calculation =IF(x1&gt;0,x2/x1,0)</t>
  </si>
  <si>
    <t>Unit operating expenditure based on simultaneous maximum load (£/kW/year)</t>
  </si>
  <si>
    <t>2711. Operating expenditure for customer assets p/MPAN/day</t>
  </si>
  <si>
    <t>x2 = 2709. Operating expenditure percentage by network level</t>
  </si>
  <si>
    <t>x3 = 2205. Service model assets by tariff (£)</t>
  </si>
  <si>
    <t>x4 = Operating expenditure p/MPAN/day by level (in Operating expenditure for customer assets p/MPAN/day)</t>
  </si>
  <si>
    <t>=100/x1*x2*x3</t>
  </si>
  <si>
    <t>Operating expenditure p/MPAN/day by level</t>
  </si>
  <si>
    <t>Operating expenditure for customer assets p/MPAN/day total</t>
  </si>
  <si>
    <t>2712. Operating expenditure for unmetered customer assets (p/kWh)</t>
  </si>
  <si>
    <t>x1 = 2709. Operating expenditure percentage by network level</t>
  </si>
  <si>
    <t>Calculation =0.1*x1*x2</t>
  </si>
  <si>
    <t>This sheet calculates factors used to take account of the costs deemed to be covered by connection charges.</t>
  </si>
  <si>
    <t>2801. Network level of supply (for customer contributions) by tariff</t>
  </si>
  <si>
    <t>2802. Contribution proportion of asset annuities, by customer type and network level of assets</t>
  </si>
  <si>
    <t>x1 = 1060. Customer contributions under current connection charging policy</t>
  </si>
  <si>
    <t>x2 = 1010. Annuity proportion for customer-contributed assets (in Financial and general assumptions)</t>
  </si>
  <si>
    <t>Calculation =x1*(1-x2)</t>
  </si>
  <si>
    <t>2803. Proportion of assets annuities deemed to be covered by customer contributions</t>
  </si>
  <si>
    <t>x1 = 2801. Network level of supply (for customer contributions) by tariff</t>
  </si>
  <si>
    <t>x2 = 2802. Contribution proportion of asset annuities, by customer type and network level of assets</t>
  </si>
  <si>
    <t>2804. Proportion of annual charge covered by contributions (for all charging levels)</t>
  </si>
  <si>
    <t>x1 = Zero for operating expenditure</t>
  </si>
  <si>
    <t>x2 = Zero for GSPs level</t>
  </si>
  <si>
    <t>x3 = 2803. Proportion of assets annuities deemed to be covered by customer contributions</t>
  </si>
  <si>
    <t>This sheet calculates average p/kWh and p/kW/day charges that would apply if no costs were recovered through capacity or fixed charges.</t>
  </si>
  <si>
    <t>2901. Unit cost at each level, £/kW/year (relative to system simultaneous maximum load)</t>
  </si>
  <si>
    <t>x1 = 2109. Network model annuity by simultaneous maximum load for each network level (£/kW/year)</t>
  </si>
  <si>
    <t>x2 = 2710. Unit operating expenditure based on simultaneous maximum load (£/kW/year)</t>
  </si>
  <si>
    <t>Unit cost at each level, £/kW/year (relative to system simultaneous maximum load)</t>
  </si>
  <si>
    <t>2902. Pay-as-you-go yardstick unit costs by charging level (p/kWh)</t>
  </si>
  <si>
    <t>x1 = 2901. Unit cost at each level, £/kW/year (relative to system simultaneous maximum load)</t>
  </si>
  <si>
    <t>x4 = 2804. Proportion of annual charge covered by contributions (for all charging levels)</t>
  </si>
  <si>
    <t>Calculation =x1*x2*x3*(1-x4)/(24*x5)*100</t>
  </si>
  <si>
    <t>x2 = 2901. Unit cost at each level, £/kW/year (relative to system simultaneous maximum load)</t>
  </si>
  <si>
    <t>This sheet reallocates some costs from unit charges to fixed or capacity charges, for demand users only.</t>
  </si>
  <si>
    <t>3001. Costs based on aggregate maximum load (£/kW/year)</t>
  </si>
  <si>
    <t>x2 = 2612. Diversity allowances (including calculated LV value)</t>
  </si>
  <si>
    <t>Calculation =x1/(1+x2)</t>
  </si>
  <si>
    <t>Costs based on aggregate maximum load (£/kW/year)</t>
  </si>
  <si>
    <t>3002. Capacity elements p/kVA/day</t>
  </si>
  <si>
    <t>This calculation uses aggregate maximum load and no coincidence factor.</t>
  </si>
  <si>
    <t>x1 = 2602. Standing charges factors adapted to use 132kV/HV</t>
  </si>
  <si>
    <t>x2 = 2012. Loss adjustment factors between end user meter reading and each network level, scaled by network use</t>
  </si>
  <si>
    <t>x3 = 3001. Costs based on aggregate maximum load (£/kW/year)</t>
  </si>
  <si>
    <t>x4 = 1010. Power factor for all flows in the network model (in Financial and general assumptions)</t>
  </si>
  <si>
    <t>x6 = 2804. Proportion of annual charge covered by contributions (for all charging levels)</t>
  </si>
  <si>
    <t>Calculation =100*x1*x2*x3*x4/x5*(1-x6)</t>
  </si>
  <si>
    <t>x2 = 2902. Pay-as-you-go yardstick unit costs by charging level (p/kWh)</t>
  </si>
  <si>
    <t>This sheet allocates standing charges to fixed charges for non half hourly settled demand users.</t>
  </si>
  <si>
    <t>x3 = 1010. Power factor for all flows in the network model (in Financial and general assumptions)</t>
  </si>
  <si>
    <t>x1 = 3002. Capacity elements p/kVA/day</t>
  </si>
  <si>
    <t>= x1</t>
  </si>
  <si>
    <t>3201. Standard components p/kWh for reactive power (absolute value)</t>
  </si>
  <si>
    <t>Calculation =ABS(x1)</t>
  </si>
  <si>
    <t>3202. Standard reactive p/kVArh</t>
  </si>
  <si>
    <t>x1 = 3201. Standard components p/kWh for reactive power (absolute value)</t>
  </si>
  <si>
    <t>x2 = 1092. Average kVAr by kVA, by network level</t>
  </si>
  <si>
    <t>Calculation =x1*x2*x3</t>
  </si>
  <si>
    <t>3203. Network use factors for generator reactive unit charges</t>
  </si>
  <si>
    <t>3204. Absolute value of load coefficient (kW peak / average kW)</t>
  </si>
  <si>
    <t>x1 = 2302. Load coefficient</t>
  </si>
  <si>
    <t>Absolute load coefficient</t>
  </si>
  <si>
    <t>3205. Pay-as-you-go components p/kWh for reactive power (absolute value)</t>
  </si>
  <si>
    <t>x2 = 3204. Absolute value of load coefficient (kW peak / average kW)</t>
  </si>
  <si>
    <t>x4 = 2004. Loss adjustment factor to transmission for each network level</t>
  </si>
  <si>
    <t>x5 = 2804. Proportion of annual charge covered by contributions (for all charging levels)</t>
  </si>
  <si>
    <t>x6 = 3203. Network use factors for generator reactive unit charges</t>
  </si>
  <si>
    <t>x7 = 1010. Days in the charging year (in Financial and general assumptions)</t>
  </si>
  <si>
    <t>Calculation =x1*x2*x3/x4*(1-x5)*x6/(24*x7)*100</t>
  </si>
  <si>
    <t>3206. Pay-as-you-go reactive p/kVArh</t>
  </si>
  <si>
    <t>x1 = 3205. Pay-as-you-go components p/kWh for reactive power (absolute value)</t>
  </si>
  <si>
    <t>This sheet aggregates elements of tariffs excluding revenue matching and final adjustments and rounding.</t>
  </si>
  <si>
    <t>3301. Unit rate 1 p/kWh (elements)</t>
  </si>
  <si>
    <t>3302. Unit rate 2 p/kWh (elements)</t>
  </si>
  <si>
    <t>x4 = 2203. Service model asset p/kWh charge for unmetered tariffs — for Tariffs with Unit rate 2 p/kWh from PAYG 2 kWh &amp; customer</t>
  </si>
  <si>
    <t>x5 = 2712. Operating expenditure for unmetered customer assets (p/kWh) — for Tariffs with Unit rate 2 p/kWh from PAYG 2 kWh &amp; customer</t>
  </si>
  <si>
    <t>3303. Unit rate 3 p/kWh (elements)</t>
  </si>
  <si>
    <t>x4 = 2203. Service model asset p/kWh charge for unmetered tariffs — for Tariffs with Unit rate 3 p/kWh from PAYG 3 kWh &amp; customer</t>
  </si>
  <si>
    <t>x5 = 2712. Operating expenditure for unmetered customer assets (p/kWh) — for Tariffs with Unit rate 3 p/kWh from PAYG 3 kWh &amp; customer</t>
  </si>
  <si>
    <t>3304. Fixed charge p/MPAN/day (elements)</t>
  </si>
  <si>
    <t>x2 = 2206. Service model p/MPAN/day (in Replacement annuities for service models) — for Tariffs with Fixed charge p/MPAN/day from Customer</t>
  </si>
  <si>
    <t>x3 = 2206. Service model p/MPAN/day (in Replacement annuities for service models) — for Tariffs with Fixed charge p/MPAN/day from Fixed from network &amp; customer</t>
  </si>
  <si>
    <t>x4 = 2711. Operating expenditure for customer assets p/MPAN/day total (in Operating expenditure for customer assets p/MPAN/day) — for Tariffs with Fixed charge p/MPAN/day from Customer</t>
  </si>
  <si>
    <t>x5 = 2711. Operating expenditure for customer assets p/MPAN/day total (in Operating expenditure for customer assets p/MPAN/day) — for Tariffs with Fixed charge p/MPAN/day from Fixed from network &amp; customer</t>
  </si>
  <si>
    <t>3305. Capacity charge p/kVA/day (elements)</t>
  </si>
  <si>
    <t>x1 = 3002. Capacity charge p/kVA/day — for Tariffs with Capacity charge p/kVA/day from Capacity</t>
  </si>
  <si>
    <t>3306. Reactive power charge p/kVArh (elements)</t>
  </si>
  <si>
    <t>x1 = 3206. Pay-as-you-go reactive p/kVArh</t>
  </si>
  <si>
    <t>x2 = 3202. Standard reactive p/kVArh</t>
  </si>
  <si>
    <t>3307. Summary of charges before revenue matching</t>
  </si>
  <si>
    <t>x1 = 3301. Unit rate 1 p/kWh (elements)</t>
  </si>
  <si>
    <t>x2 = 3302. Unit rate 2 p/kWh (elements)</t>
  </si>
  <si>
    <t>x3 = 3303. Unit rate 3 p/kWh (elements)</t>
  </si>
  <si>
    <t>x4 = 3304. Fixed charge p/MPAN/day (elements)</t>
  </si>
  <si>
    <t>x5 = 3305. Capacity charge p/kVA/day (elements)</t>
  </si>
  <si>
    <t>x6 = 3306. Reactive power charge p/kVArh (elements)</t>
  </si>
  <si>
    <t>Unit rate 1 p/kWh (total)</t>
  </si>
  <si>
    <t>Unit rate 2 p/kWh (total)</t>
  </si>
  <si>
    <t>Unit rate 3 p/kWh (total)</t>
  </si>
  <si>
    <t>Fixed charge p/MPAN/day (total)</t>
  </si>
  <si>
    <t>Capacity charge p/kVA/day (total)</t>
  </si>
  <si>
    <t>Reactive power charge p/kVArh</t>
  </si>
  <si>
    <t>3401. Net revenues by tariff before matching (£)</t>
  </si>
  <si>
    <t>x2 = 3307. Fixed charge p/MPAN/day (total) (in Summary of charges before revenue matching)</t>
  </si>
  <si>
    <t>x3 = 2305. MPANs (in Equivalent volume for each end user)</t>
  </si>
  <si>
    <t>x4 = 3307. Capacity charge p/kVA/day (total) (in Summary of charges before revenue matching)</t>
  </si>
  <si>
    <t>x5 = 2305. Import capacity (kVA) (in Equivalent volume for each end user)</t>
  </si>
  <si>
    <t>x6 = 3307. Unit rate 1 p/kWh (total) (in Summary of charges before revenue matching)</t>
  </si>
  <si>
    <t>x7 = 2305. Rate 1 units (MWh) (in Equivalent volume for each end user)</t>
  </si>
  <si>
    <t>x8 = 3307. Unit rate 2 p/kWh (total) (in Summary of charges before revenue matching)</t>
  </si>
  <si>
    <t>x9 = 2305. Rate 2 units (MWh) (in Equivalent volume for each end user)</t>
  </si>
  <si>
    <t>x10 = 3307. Unit rate 3 p/kWh (total) (in Summary of charges before revenue matching)</t>
  </si>
  <si>
    <t>x11 = 2305. Rate 3 units (MWh) (in Equivalent volume for each end user)</t>
  </si>
  <si>
    <t>x12 = 3307. Reactive power charge p/kVArh (in Summary of charges before revenue matching)</t>
  </si>
  <si>
    <t>x13 = 2305. Reactive power units (MVArh) (in Equivalent volume for each end user)</t>
  </si>
  <si>
    <t>Calculation =0.01*x1*(x2*x3+x4*x5)+10*(x6*x7+x8*x9+x10*x11+x12*x13)</t>
  </si>
  <si>
    <t>Net revenues</t>
  </si>
  <si>
    <t>x1 = 3401. Net revenues by tariff before matching (£)</t>
  </si>
  <si>
    <t>x3 = Total net revenues before matching (£) (in Revenue surplus or shortfall)</t>
  </si>
  <si>
    <t>=x2-x3</t>
  </si>
  <si>
    <t>Total net revenues before matching (£)</t>
  </si>
  <si>
    <t>Revenue shortfall (surplus) £</t>
  </si>
  <si>
    <t>Revenue surplus or shortfall</t>
  </si>
  <si>
    <t>This sheet modifies tariffs so that the total expected net revenues matches the target.</t>
  </si>
  <si>
    <t>3501. Factor to scale to £1/kW at transmission exit level</t>
  </si>
  <si>
    <t>Calculation =IF(x1,1/x1,0)</t>
  </si>
  <si>
    <t>Factor to scale to £1/kW at transmission exit level</t>
  </si>
  <si>
    <t>3502. Applicability factor for £1/kW scaler</t>
  </si>
  <si>
    <t>x1 = 3501. Factor to scale to £1/kW at transmission exit level</t>
  </si>
  <si>
    <t>x2 = Zero for other levels</t>
  </si>
  <si>
    <t>Applicability factor for £1/kW scaler</t>
  </si>
  <si>
    <t>3503. Scalable elements of tariff components</t>
  </si>
  <si>
    <t>x2 = 3502. Applicability factor for £1/kW scaler</t>
  </si>
  <si>
    <t>x3 = 3302. Unit rate 2 p/kWh (elements)</t>
  </si>
  <si>
    <t>x4 = 3303. Unit rate 3 p/kWh (elements)</t>
  </si>
  <si>
    <t>x5 = 3304. Fixed charge p/MPAN/day (elements)</t>
  </si>
  <si>
    <t>x6 = 3305. Capacity charge p/kVA/day (elements)</t>
  </si>
  <si>
    <t>x7 = 3306. Reactive power charge p/kVArh (elements)</t>
  </si>
  <si>
    <t>=SUMPRODUCT(x3, x2)</t>
  </si>
  <si>
    <t>=SUMPRODUCT(x4, x2)</t>
  </si>
  <si>
    <t>=SUMPRODUCT(x5, x2)</t>
  </si>
  <si>
    <t>=SUMPRODUCT(x6, x2)</t>
  </si>
  <si>
    <t>=SUMPRODUCT(x7, x2)</t>
  </si>
  <si>
    <t>Unit rate 1 p/kWh scalable part</t>
  </si>
  <si>
    <t>Unit rate 2 p/kWh scalable part</t>
  </si>
  <si>
    <t>Unit rate 3 p/kWh scalable part</t>
  </si>
  <si>
    <t>Fixed charge p/MPAN/day scalable part</t>
  </si>
  <si>
    <t>Capacity charge p/kVA/day scalable part</t>
  </si>
  <si>
    <t>Reactive power charge p/kVArh scalable part</t>
  </si>
  <si>
    <t>3504. Scaler value at which the minimum is breached</t>
  </si>
  <si>
    <t>x1 = 3503. Unit rate 1 p/kWh scalable part (in Scalable elements of tariff components)</t>
  </si>
  <si>
    <t>x2 = 3307. Unit rate 1 p/kWh (total) (in Summary of charges before revenue matching)</t>
  </si>
  <si>
    <t>x3 = 3503. Unit rate 2 p/kWh scalable part (in Scalable elements of tariff components)</t>
  </si>
  <si>
    <t>x4 = 3307. Unit rate 2 p/kWh (total) (in Summary of charges before revenue matching)</t>
  </si>
  <si>
    <t>x5 = 3503. Unit rate 3 p/kWh scalable part (in Scalable elements of tariff components)</t>
  </si>
  <si>
    <t>x6 = 3307. Unit rate 3 p/kWh (total) (in Summary of charges before revenue matching)</t>
  </si>
  <si>
    <t>x7 = 3503. Fixed charge p/MPAN/day scalable part (in Scalable elements of tariff components)</t>
  </si>
  <si>
    <t>x8 = 3307. Fixed charge p/MPAN/day (total) (in Summary of charges before revenue matching)</t>
  </si>
  <si>
    <t>x9 = 3503. Capacity charge p/kVA/day scalable part (in Scalable elements of tariff components)</t>
  </si>
  <si>
    <t>x10 = 3307. Capacity charge p/kVA/day (total) (in Summary of charges before revenue matching)</t>
  </si>
  <si>
    <t>x11 = 3503. Reactive power charge p/kVArh scalable part (in Scalable elements of tariff components)</t>
  </si>
  <si>
    <t>=IF(x1,0-x2/x1,0)</t>
  </si>
  <si>
    <t>=IF(x3,0-x4/x3,0)</t>
  </si>
  <si>
    <t>=IF(x5,0-x6/x5,0)</t>
  </si>
  <si>
    <t>=IF(x7,0-x8/x7,0)</t>
  </si>
  <si>
    <t>=IF(x9,0-x10/x9,0)</t>
  </si>
  <si>
    <t>=IF(x11,0-x12/x11,0)</t>
  </si>
  <si>
    <t>Scaler threshold for Unit rate 1 p/kWh</t>
  </si>
  <si>
    <t>Scaler threshold for Unit rate 2 p/kWh</t>
  </si>
  <si>
    <t>Scaler threshold for Unit rate 3 p/kWh</t>
  </si>
  <si>
    <t>Scaler threshold for Fixed charge p/MPAN/day</t>
  </si>
  <si>
    <t>Scaler threshold for Capacity charge p/kVA/day</t>
  </si>
  <si>
    <t>Scaler threshold for Reactive power charge p/kVArh</t>
  </si>
  <si>
    <t>3505. Marginal revenue effect of scaler</t>
  </si>
  <si>
    <t>x2 = 3503. Unit rate 1 p/kWh scalable part (in Scalable elements of tariff components)</t>
  </si>
  <si>
    <t>x3 = 2305. Rate 1 units (MWh) (in Equivalent volume for each end user)</t>
  </si>
  <si>
    <t>x4 = 3503. Unit rate 2 p/kWh scalable part (in Scalable elements of tariff components)</t>
  </si>
  <si>
    <t>x5 = 2305. Rate 2 units (MWh) (in Equivalent volume for each end user)</t>
  </si>
  <si>
    <t>x6 = 3503. Unit rate 3 p/kWh scalable part (in Scalable elements of tariff components)</t>
  </si>
  <si>
    <t>x7 = 2305. Rate 3 units (MWh) (in Equivalent volume for each end user)</t>
  </si>
  <si>
    <t>x8 = 3503. Fixed charge p/MPAN/day scalable part (in Scalable elements of tariff components)</t>
  </si>
  <si>
    <t>x9 = 1010. Days in the charging year (in Financial and general assumptions)</t>
  </si>
  <si>
    <t>x10 = 2305. MPANs (in Equivalent volume for each end user)</t>
  </si>
  <si>
    <t>x11 = 3503. Capacity charge p/kVA/day scalable part (in Scalable elements of tariff components)</t>
  </si>
  <si>
    <t>x12 = 2305. Import capacity (kVA) (in Equivalent volume for each end user)</t>
  </si>
  <si>
    <t>x13 = 3503. Reactive power charge p/kVArh scalable part (in Scalable elements of tariff components)</t>
  </si>
  <si>
    <t>x14 = 2305. Reactive power units (MVArh) (in Equivalent volume for each end user)</t>
  </si>
  <si>
    <t>=IF(x1&lt;0,0,x2*x3*10)</t>
  </si>
  <si>
    <t>=IF(x1&lt;0,0,x4*x5*10)</t>
  </si>
  <si>
    <t>=IF(x1&lt;0,0,x6*x7*10)</t>
  </si>
  <si>
    <t>=x8*x9*x10/100</t>
  </si>
  <si>
    <t>=x11*x9*x12/100</t>
  </si>
  <si>
    <t>=IF(x1&lt;0,0,x13*x14*10)</t>
  </si>
  <si>
    <t>Effect through Unit rate 1 p/kWh</t>
  </si>
  <si>
    <t>Effect through Unit rate 2 p/kWh</t>
  </si>
  <si>
    <t>Effect through Unit rate 3 p/kWh</t>
  </si>
  <si>
    <t>Effect through Fixed charge p/MPAN/day</t>
  </si>
  <si>
    <t>Effect through Capacity charge p/kVA/day</t>
  </si>
  <si>
    <t>Effect through Reactive power charge p/kVArh</t>
  </si>
  <si>
    <t>3506. Constraint-free solution</t>
  </si>
  <si>
    <t>x2 = 3505. Effect through Unit rate 1 p/kWh (in Marginal revenue effect of scaler)</t>
  </si>
  <si>
    <t>x3 = 3505. Effect through Unit rate 2 p/kWh (in Marginal revenue effect of scaler)</t>
  </si>
  <si>
    <t>x4 = 3505. Effect through Unit rate 3 p/kWh (in Marginal revenue effect of scaler)</t>
  </si>
  <si>
    <t>x5 = 3505. Effect through Fixed charge p/MPAN/day (in Marginal revenue effect of scaler)</t>
  </si>
  <si>
    <t>x6 = 3505. Effect through Capacity charge p/kVA/day (in Marginal revenue effect of scaler)</t>
  </si>
  <si>
    <t>x7 = 3505. Effect through Reactive power charge p/kVArh (in Marginal revenue effect of scaler)</t>
  </si>
  <si>
    <t>Calculation =x1/SUM(x2,x3,x4,x5,x6,x7)</t>
  </si>
  <si>
    <t>Constraint-free solution</t>
  </si>
  <si>
    <t>3507. Starting point</t>
  </si>
  <si>
    <t>x1 = 3506. Constraint-free solution</t>
  </si>
  <si>
    <t>x2 = 3504. Scaler threshold for Unit rate 1 p/kWh (in Scaler value at which the minimum is breached)</t>
  </si>
  <si>
    <t>x3 = 3504. Scaler threshold for Unit rate 2 p/kWh (in Scaler value at which the minimum is breached)</t>
  </si>
  <si>
    <t>x4 = 3504. Scaler threshold for Unit rate 3 p/kWh (in Scaler value at which the minimum is breached)</t>
  </si>
  <si>
    <t>x5 = 3504. Scaler threshold for Fixed charge p/MPAN/day (in Scaler value at which the minimum is breached)</t>
  </si>
  <si>
    <t>x6 = 3504. Scaler threshold for Capacity charge p/kVA/day (in Scaler value at which the minimum is breached)</t>
  </si>
  <si>
    <t>x7 = 3504. Scaler threshold for Reactive power charge p/kVArh (in Scaler value at which the minimum is breached)</t>
  </si>
  <si>
    <t>Calculation =MIN(x1,x2,x3,x4,x5,x6,x7)</t>
  </si>
  <si>
    <t>Starting point</t>
  </si>
  <si>
    <t>3508. Solve for General scaler rate</t>
  </si>
  <si>
    <t>x1 = 3507. Starting point</t>
  </si>
  <si>
    <t>x8 = 3505. Effect through Unit rate 1 p/kWh (in Marginal revenue effect of scaler)</t>
  </si>
  <si>
    <t>x9 = 3505. Effect through Unit rate 2 p/kWh (in Marginal revenue effect of scaler)</t>
  </si>
  <si>
    <t>x10 = 3505. Effect through Unit rate 3 p/kWh (in Marginal revenue effect of scaler)</t>
  </si>
  <si>
    <t>x11 = 3505. Effect through Fixed charge p/MPAN/day (in Marginal revenue effect of scaler)</t>
  </si>
  <si>
    <t>x12 = 3505. Effect through Capacity charge p/kVA/day (in Marginal revenue effect of scaler)</t>
  </si>
  <si>
    <t>x13 = 3505. Effect through Reactive power charge p/kVArh (in Marginal revenue effect of scaler)</t>
  </si>
  <si>
    <t>x14 = Location (in Solve for General scaler rate)</t>
  </si>
  <si>
    <t>x15 = Kink (in Solve for General scaler rate)</t>
  </si>
  <si>
    <t>x16 = Ranking before tie break (in Solve for General scaler rate)</t>
  </si>
  <si>
    <t>x17 = Counter (in Solve for General scaler rate)</t>
  </si>
  <si>
    <t>x18 = Tie breaker (in Solve for General scaler rate)</t>
  </si>
  <si>
    <t>x19 = Ranking (in Solve for General scaler rate)</t>
  </si>
  <si>
    <t>x20 = Kink reordering (in Solve for General scaler rate)</t>
  </si>
  <si>
    <t>x21 = Starting slope contributions (in Solve for General scaler rate)</t>
  </si>
  <si>
    <t>x22 = New slope (in Solve for General scaler rate)</t>
  </si>
  <si>
    <t>x23 = Location (ordered) (in Solve for General scaler rate)</t>
  </si>
  <si>
    <t>x24 = Starting values (in Solve for General scaler rate)</t>
  </si>
  <si>
    <t>x26 = 3506. Constraint-free solution</t>
  </si>
  <si>
    <t>x27 = Value (in Solve for General scaler rate)</t>
  </si>
  <si>
    <t>Location</t>
  </si>
  <si>
    <t>Kink</t>
  </si>
  <si>
    <t>Starting slope contributions</t>
  </si>
  <si>
    <t>Starting values</t>
  </si>
  <si>
    <t>Ranking before tie break</t>
  </si>
  <si>
    <t>Counter</t>
  </si>
  <si>
    <t>Tie breaker</t>
  </si>
  <si>
    <t>Ranking</t>
  </si>
  <si>
    <t>Kink reordering</t>
  </si>
  <si>
    <t>Location (ordered)</t>
  </si>
  <si>
    <t>New slope</t>
  </si>
  <si>
    <t>Root</t>
  </si>
  <si>
    <t>Kink 1</t>
  </si>
  <si>
    <t>Kink 2</t>
  </si>
  <si>
    <t>Kink 3</t>
  </si>
  <si>
    <t>Kink 4</t>
  </si>
  <si>
    <t>Kink 5</t>
  </si>
  <si>
    <t>Kink 6</t>
  </si>
  <si>
    <t>Kink 7</t>
  </si>
  <si>
    <t>Kink 8</t>
  </si>
  <si>
    <t>Kink 9</t>
  </si>
  <si>
    <t>Kink 10</t>
  </si>
  <si>
    <t>Kink 11</t>
  </si>
  <si>
    <t>Kink 12</t>
  </si>
  <si>
    <t>Kink 13</t>
  </si>
  <si>
    <t>Kink 14</t>
  </si>
  <si>
    <t>Kink 15</t>
  </si>
  <si>
    <t>Kink 16</t>
  </si>
  <si>
    <t>Kink 17</t>
  </si>
  <si>
    <t>Kink 18</t>
  </si>
  <si>
    <t>Kink 19</t>
  </si>
  <si>
    <t>Kink 20</t>
  </si>
  <si>
    <t>Kink 21</t>
  </si>
  <si>
    <t>Kink 22</t>
  </si>
  <si>
    <t>Kink 23</t>
  </si>
  <si>
    <t>Kink 24</t>
  </si>
  <si>
    <t>Kink 25</t>
  </si>
  <si>
    <t>Kink 26</t>
  </si>
  <si>
    <t>Kink 27</t>
  </si>
  <si>
    <t>Kink 28</t>
  </si>
  <si>
    <t>Kink 29</t>
  </si>
  <si>
    <t>Kink 30</t>
  </si>
  <si>
    <t>Kink 31</t>
  </si>
  <si>
    <t>Kink 32</t>
  </si>
  <si>
    <t>Kink 33</t>
  </si>
  <si>
    <t>Kink 34</t>
  </si>
  <si>
    <t>Kink 35</t>
  </si>
  <si>
    <t>Kink 36</t>
  </si>
  <si>
    <t>Kink 37</t>
  </si>
  <si>
    <t>Kink 38</t>
  </si>
  <si>
    <t>Kink 39</t>
  </si>
  <si>
    <t>Kink 40</t>
  </si>
  <si>
    <t>Kink 41</t>
  </si>
  <si>
    <t>Kink 42</t>
  </si>
  <si>
    <t>Kink 43</t>
  </si>
  <si>
    <t>Kink 44</t>
  </si>
  <si>
    <t>Kink 45</t>
  </si>
  <si>
    <t>Kink 46</t>
  </si>
  <si>
    <t>Kink 47</t>
  </si>
  <si>
    <t>Kink 48</t>
  </si>
  <si>
    <t>Kink 49</t>
  </si>
  <si>
    <t>Kink 50</t>
  </si>
  <si>
    <t>Kink 51</t>
  </si>
  <si>
    <t>Kink 52</t>
  </si>
  <si>
    <t>Kink 53</t>
  </si>
  <si>
    <t>Kink 54</t>
  </si>
  <si>
    <t>Kink 55</t>
  </si>
  <si>
    <t>Kink 56</t>
  </si>
  <si>
    <t>Kink 57</t>
  </si>
  <si>
    <t>Kink 58</t>
  </si>
  <si>
    <t>Kink 59</t>
  </si>
  <si>
    <t>Kink 60</t>
  </si>
  <si>
    <t>Kink 61</t>
  </si>
  <si>
    <t>Kink 62</t>
  </si>
  <si>
    <t>Kink 63</t>
  </si>
  <si>
    <t>Kink 64</t>
  </si>
  <si>
    <t>Kink 65</t>
  </si>
  <si>
    <t>Kink 66</t>
  </si>
  <si>
    <t>Kink 67</t>
  </si>
  <si>
    <t>Kink 68</t>
  </si>
  <si>
    <t>Kink 69</t>
  </si>
  <si>
    <t>Kink 70</t>
  </si>
  <si>
    <t>Kink 71</t>
  </si>
  <si>
    <t>Kink 72</t>
  </si>
  <si>
    <t>Kink 73</t>
  </si>
  <si>
    <t>Kink 74</t>
  </si>
  <si>
    <t>Kink 75</t>
  </si>
  <si>
    <t>Kink 76</t>
  </si>
  <si>
    <t>Kink 77</t>
  </si>
  <si>
    <t>Kink 78</t>
  </si>
  <si>
    <t>Kink 79</t>
  </si>
  <si>
    <t>Kink 80</t>
  </si>
  <si>
    <t>Kink 81</t>
  </si>
  <si>
    <t>Kink 82</t>
  </si>
  <si>
    <t>Kink 83</t>
  </si>
  <si>
    <t>Kink 84</t>
  </si>
  <si>
    <t>Kink 85</t>
  </si>
  <si>
    <t>Kink 86</t>
  </si>
  <si>
    <t>Kink 87</t>
  </si>
  <si>
    <t>Kink 88</t>
  </si>
  <si>
    <t>Kink 89</t>
  </si>
  <si>
    <t>Kink 90</t>
  </si>
  <si>
    <t>Kink 91</t>
  </si>
  <si>
    <t>Kink 92</t>
  </si>
  <si>
    <t>Kink 93</t>
  </si>
  <si>
    <t>Kink 94</t>
  </si>
  <si>
    <t>Kink 95</t>
  </si>
  <si>
    <t>Kink 96</t>
  </si>
  <si>
    <t>Kink 97</t>
  </si>
  <si>
    <t>Kink 98</t>
  </si>
  <si>
    <t>Kink 99</t>
  </si>
  <si>
    <t>Kink 100</t>
  </si>
  <si>
    <t>Kink 101</t>
  </si>
  <si>
    <t>Kink 102</t>
  </si>
  <si>
    <t>Kink 103</t>
  </si>
  <si>
    <t>Kink 104</t>
  </si>
  <si>
    <t>Kink 105</t>
  </si>
  <si>
    <t>Kink 106</t>
  </si>
  <si>
    <t>Kink 107</t>
  </si>
  <si>
    <t>Kink 108</t>
  </si>
  <si>
    <t>Kink 109</t>
  </si>
  <si>
    <t>Kink 110</t>
  </si>
  <si>
    <t>Kink 111</t>
  </si>
  <si>
    <t>Kink 112</t>
  </si>
  <si>
    <t>Kink 113</t>
  </si>
  <si>
    <t>Kink 114</t>
  </si>
  <si>
    <t>Kink 115</t>
  </si>
  <si>
    <t>Kink 116</t>
  </si>
  <si>
    <t>Kink 117</t>
  </si>
  <si>
    <t>Kink 118</t>
  </si>
  <si>
    <t>Kink 119</t>
  </si>
  <si>
    <t>Kink 120</t>
  </si>
  <si>
    <t>Kink 121</t>
  </si>
  <si>
    <t>Kink 122</t>
  </si>
  <si>
    <t>Kink 123</t>
  </si>
  <si>
    <t>Kink 124</t>
  </si>
  <si>
    <t>Kink 125</t>
  </si>
  <si>
    <t>Kink 126</t>
  </si>
  <si>
    <t>Kink 127</t>
  </si>
  <si>
    <t>Kink 128</t>
  </si>
  <si>
    <t>Kink 129</t>
  </si>
  <si>
    <t>Kink 130</t>
  </si>
  <si>
    <t>Kink 131</t>
  </si>
  <si>
    <t>Kink 132</t>
  </si>
  <si>
    <t>Kink 133</t>
  </si>
  <si>
    <t>Kink 134</t>
  </si>
  <si>
    <t>Kink 135</t>
  </si>
  <si>
    <t>Kink 136</t>
  </si>
  <si>
    <t>Kink 137</t>
  </si>
  <si>
    <t>Kink 138</t>
  </si>
  <si>
    <t>Kink 139</t>
  </si>
  <si>
    <t>Kink 140</t>
  </si>
  <si>
    <t>Kink 141</t>
  </si>
  <si>
    <t>Kink 142</t>
  </si>
  <si>
    <t>Kink 143</t>
  </si>
  <si>
    <t>Kink 144</t>
  </si>
  <si>
    <t>Kink 145</t>
  </si>
  <si>
    <t>Kink 146</t>
  </si>
  <si>
    <t>Kink 147</t>
  </si>
  <si>
    <t>Kink 148</t>
  </si>
  <si>
    <t>Kink 149</t>
  </si>
  <si>
    <t>Kink 150</t>
  </si>
  <si>
    <t>Kink 151</t>
  </si>
  <si>
    <t>Kink 152</t>
  </si>
  <si>
    <t>Kink 153</t>
  </si>
  <si>
    <t>Kink 154</t>
  </si>
  <si>
    <t>Kink 155</t>
  </si>
  <si>
    <t>Kink 156</t>
  </si>
  <si>
    <t>Kink 157</t>
  </si>
  <si>
    <t>Kink 158</t>
  </si>
  <si>
    <t>Kink 159</t>
  </si>
  <si>
    <t>Kink 160</t>
  </si>
  <si>
    <t>Kink 161</t>
  </si>
  <si>
    <t>Kink 162</t>
  </si>
  <si>
    <t>3509. General scaler rate</t>
  </si>
  <si>
    <t>x1 = 3508. Root (in Solve for General scaler rate)</t>
  </si>
  <si>
    <t>Calculation =MIN(x1)</t>
  </si>
  <si>
    <t>General scaler rate</t>
  </si>
  <si>
    <t>3510. Scaler</t>
  </si>
  <si>
    <t>x3 = 3509. General scaler rate</t>
  </si>
  <si>
    <t>x4 = 3307. Unit rate 1 p/kWh (total) (in Summary of charges before revenue matching)</t>
  </si>
  <si>
    <t>x5 = 3503. Unit rate 2 p/kWh scalable part (in Scalable elements of tariff components)</t>
  </si>
  <si>
    <t>x6 = 3307. Unit rate 2 p/kWh (total) (in Summary of charges before revenue matching)</t>
  </si>
  <si>
    <t>x7 = 3503. Unit rate 3 p/kWh scalable part (in Scalable elements of tariff components)</t>
  </si>
  <si>
    <t>x8 = 3307. Unit rate 3 p/kWh (total) (in Summary of charges before revenue matching)</t>
  </si>
  <si>
    <t>x9 = 3503. Fixed charge p/MPAN/day scalable part (in Scalable elements of tariff components)</t>
  </si>
  <si>
    <t>x10 = 3307. Fixed charge p/MPAN/day (total) (in Summary of charges before revenue matching)</t>
  </si>
  <si>
    <t>x12 = 3307. Capacity charge p/kVA/day (total) (in Summary of charges before revenue matching)</t>
  </si>
  <si>
    <t>x14 = 3307. Reactive power charge p/kVArh (in Summary of charges before revenue matching)</t>
  </si>
  <si>
    <t>x15 = 1010. Days in the charging year (in Financial and general assumptions)</t>
  </si>
  <si>
    <t>x16 = Fixed charge p/MPAN/day scaler (in Scaler)</t>
  </si>
  <si>
    <t>x17 = 2305. MPANs (in Equivalent volume for each end user)</t>
  </si>
  <si>
    <t>x18 = Capacity charge p/kVA/day scaler (in Scaler)</t>
  </si>
  <si>
    <t>x19 = 2305. Import capacity (kVA) (in Equivalent volume for each end user)</t>
  </si>
  <si>
    <t>x20 = Unit rate 1 p/kWh scaler (in Scaler)</t>
  </si>
  <si>
    <t>x21 = 2305. Rate 1 units (MWh) (in Equivalent volume for each end user)</t>
  </si>
  <si>
    <t>x22 = Unit rate 2 p/kWh scaler (in Scaler)</t>
  </si>
  <si>
    <t>x23 = 2305. Rate 2 units (MWh) (in Equivalent volume for each end user)</t>
  </si>
  <si>
    <t>x24 = Unit rate 3 p/kWh scaler (in Scaler)</t>
  </si>
  <si>
    <t>x25 = 2305. Rate 3 units (MWh) (in Equivalent volume for each end user)</t>
  </si>
  <si>
    <t>x26 = Reactive power charge p/kVArh scaler (in Scaler)</t>
  </si>
  <si>
    <t>x27 = 2305. Reactive power units (MVArh) (in Equivalent volume for each end user)</t>
  </si>
  <si>
    <t>=IF(x1&lt;0,0,IF(x2*x3+x4&gt;0,x2*x3,0-x4))</t>
  </si>
  <si>
    <t>=IF(x1&lt;0,0,IF(x5*x3+x6&gt;0,x5*x3,0-x6))</t>
  </si>
  <si>
    <t>=IF(x1&lt;0,0,IF(x7*x3+x8&gt;0,x7*x3,0-x8))</t>
  </si>
  <si>
    <t>=IF(x1&lt;0,0,IF(x9*x3+x10&gt;0,x9*x3,0-x10))</t>
  </si>
  <si>
    <t>=IF(x1&lt;0,0,IF(x11*x3+x12&gt;0,x11*x3,0-x12))</t>
  </si>
  <si>
    <t>=IF(x1&lt;0,0,IF(x13*x3+x14&gt;0,x13*x3,0-x14))</t>
  </si>
  <si>
    <t>=0.01*x15*(x16*x17+x18*x19)+10*(x20*x21+x22*x23+x24*x25+x26*x27)</t>
  </si>
  <si>
    <t>Unit rate 1 p/kWh scaler</t>
  </si>
  <si>
    <t>Unit rate 2 p/kWh scaler</t>
  </si>
  <si>
    <t>Unit rate 3 p/kWh scaler</t>
  </si>
  <si>
    <t>Fixed charge p/MPAN/day scaler</t>
  </si>
  <si>
    <t>Capacity charge p/kVA/day scaler</t>
  </si>
  <si>
    <t>Reactive power charge p/kVArh scaler</t>
  </si>
  <si>
    <t>Net revenues by tariff from scaler</t>
  </si>
  <si>
    <t>3601. Tariffs before rounding</t>
  </si>
  <si>
    <t>x1 = 3307. Unit rate 1 p/kWh (total) (in Summary of charges before revenue matching)</t>
  </si>
  <si>
    <t>x2 = 3510. Unit rate 1 p/kWh scaler (in Scaler)</t>
  </si>
  <si>
    <t>x3 = 3307. Unit rate 2 p/kWh (total) (in Summary of charges before revenue matching)</t>
  </si>
  <si>
    <t>x4 = 3510. Unit rate 2 p/kWh scaler (in Scaler)</t>
  </si>
  <si>
    <t>x5 = 3307. Unit rate 3 p/kWh (total) (in Summary of charges before revenue matching)</t>
  </si>
  <si>
    <t>x6 = 3510. Unit rate 3 p/kWh scaler (in Scaler)</t>
  </si>
  <si>
    <t>x7 = 3307. Fixed charge p/MPAN/day (total) (in Summary of charges before revenue matching)</t>
  </si>
  <si>
    <t>x8 = 3510. Fixed charge p/MPAN/day scaler (in Scaler)</t>
  </si>
  <si>
    <t>x9 = 3307. Capacity charge p/kVA/day (total) (in Summary of charges before revenue matching)</t>
  </si>
  <si>
    <t>x10 = 3510. Capacity charge p/kVA/day scaler (in Scaler)</t>
  </si>
  <si>
    <t>x11 = 3307. Reactive power charge p/kVArh (in Summary of charges before revenue matching)</t>
  </si>
  <si>
    <t>x12 = 3510. Reactive power charge p/kVArh scaler (in Scaler)</t>
  </si>
  <si>
    <t>=x1+x2</t>
  </si>
  <si>
    <t>=x3+x4</t>
  </si>
  <si>
    <t>=x5+x6</t>
  </si>
  <si>
    <t>=x7+x8</t>
  </si>
  <si>
    <t>=x9+x10</t>
  </si>
  <si>
    <t>=x11+x12</t>
  </si>
  <si>
    <t>Unit rate 1 p/kWh</t>
  </si>
  <si>
    <t>Unit rate 2 p/kWh</t>
  </si>
  <si>
    <t>Unit rate 3 p/kWh</t>
  </si>
  <si>
    <t>Fixed charge p/MPAN/day</t>
  </si>
  <si>
    <t>Capacity charge p/kVA/day</t>
  </si>
  <si>
    <t>3602. Decimal places</t>
  </si>
  <si>
    <t>Decimal places</t>
  </si>
  <si>
    <t>3603. Tariff rounding</t>
  </si>
  <si>
    <t>x1 = 3601. Unit rate 1 p/kWh before rounding (in Tariffs before rounding)</t>
  </si>
  <si>
    <t>x2 = 3602. Unit rate 1 p/kWh decimal places (in Decimal places)</t>
  </si>
  <si>
    <t>x3 = 3601. Unit rate 2 p/kWh before rounding (in Tariffs before rounding)</t>
  </si>
  <si>
    <t>x4 = 3602. Unit rate 2 p/kWh decimal places (in Decimal places)</t>
  </si>
  <si>
    <t>x5 = 3601. Unit rate 3 p/kWh before rounding (in Tariffs before rounding)</t>
  </si>
  <si>
    <t>x6 = 3602. Unit rate 3 p/kWh decimal places (in Decimal places)</t>
  </si>
  <si>
    <t>x7 = 3601. Fixed charge p/MPAN/day before rounding (in Tariffs before rounding)</t>
  </si>
  <si>
    <t>x8 = 3602. Fixed charge p/MPAN/day decimal places (in Decimal places)</t>
  </si>
  <si>
    <t>x9 = 3601. Capacity charge p/kVA/day before rounding (in Tariffs before rounding)</t>
  </si>
  <si>
    <t>x10 = 3602. Capacity charge p/kVA/day decimal places (in Decimal places)</t>
  </si>
  <si>
    <t>x11 = 3601. Reactive power charge p/kVArh before rounding (in Tariffs before rounding)</t>
  </si>
  <si>
    <t>x12 = 3602. Reactive power charge p/kVArh decimal places (in Decimal places)</t>
  </si>
  <si>
    <t>=ROUND(x1,x2)-x1</t>
  </si>
  <si>
    <t>=ROUND(x3,x4)-x3</t>
  </si>
  <si>
    <t>=ROUND(x5,x6)-x5</t>
  </si>
  <si>
    <t>=ROUND(x7,x8)-x7</t>
  </si>
  <si>
    <t>=ROUND(x9,x10)-x9</t>
  </si>
  <si>
    <t>=ROUND(x11,x12)-x11</t>
  </si>
  <si>
    <t>3604. All the way tariffs</t>
  </si>
  <si>
    <t>x2 = 3603. Unit rate 1 p/kWh rounding (in Tariff rounding)</t>
  </si>
  <si>
    <t>x4 = 3603. Unit rate 2 p/kWh rounding (in Tariff rounding)</t>
  </si>
  <si>
    <t>x6 = 3603. Unit rate 3 p/kWh rounding (in Tariff rounding)</t>
  </si>
  <si>
    <t>x8 = 3603. Fixed charge p/MPAN/day rounding (in Tariff rounding)</t>
  </si>
  <si>
    <t>x10 = 3603. Capacity charge p/kVA/day rounding (in Tariff rounding)</t>
  </si>
  <si>
    <t>x12 = 3603. Reactive power charge p/kVArh rounding (in Tariff rounding)</t>
  </si>
  <si>
    <t>3605. Net revenues by tariff from rounding</t>
  </si>
  <si>
    <t>x2 = 3603. Fixed charge p/MPAN/day rounding (in Tariff rounding)</t>
  </si>
  <si>
    <t>x4 = 3603. Capacity charge p/kVA/day rounding (in Tariff rounding)</t>
  </si>
  <si>
    <t>x6 = 3603. Unit rate 1 p/kWh rounding (in Tariff rounding)</t>
  </si>
  <si>
    <t>x8 = 3603. Unit rate 2 p/kWh rounding (in Tariff rounding)</t>
  </si>
  <si>
    <t>x10 = 3603. Unit rate 3 p/kWh rounding (in Tariff rounding)</t>
  </si>
  <si>
    <t>Net revenues by tariff from rounding</t>
  </si>
  <si>
    <t>3606. Revenue forecast summary</t>
  </si>
  <si>
    <t>x2 = 3510. Net revenues by tariff from scaler (in Scaler)</t>
  </si>
  <si>
    <t>x3 = 3605. Net revenues by tariff from rounding</t>
  </si>
  <si>
    <t>x4 = Total net revenues before matching (£) (in Revenue forecast summary)</t>
  </si>
  <si>
    <t>x5 = Total net revenues from scaler (£) (in Revenue forecast summary)</t>
  </si>
  <si>
    <t>x6 = Total net revenues from rounding (£) (in Revenue forecast summary)</t>
  </si>
  <si>
    <t>x7 = Total net revenues (£) (in Revenue forecast summary)</t>
  </si>
  <si>
    <t>=x4+x5+x6</t>
  </si>
  <si>
    <t>=x7-x8</t>
  </si>
  <si>
    <t>Total net revenues from scaler (£)</t>
  </si>
  <si>
    <t>Total net revenues from rounding (£)</t>
  </si>
  <si>
    <t>Total net revenues (£)</t>
  </si>
  <si>
    <t>Deviation from target revenue (£)</t>
  </si>
  <si>
    <t>Revenue forecast summary</t>
  </si>
  <si>
    <t>3607. Tariffs</t>
  </si>
  <si>
    <t>x1 = 3604. Unit rate 1 p/kWh (in All the way tariffs)</t>
  </si>
  <si>
    <t>x2 = 2304. Discount for each tariff (except for fixed charges) (in LDNO discounts and volumes adjusted for discount)</t>
  </si>
  <si>
    <t>x3 = 3604. Unit rate 2 p/kWh (in All the way tariffs)</t>
  </si>
  <si>
    <t>x4 = 3604. Unit rate 3 p/kWh (in All the way tariffs)</t>
  </si>
  <si>
    <t>x5 = 3604. Fixed charge p/MPAN/day (in All the way tariffs)</t>
  </si>
  <si>
    <t>x6 = 2304. Discount for each tariff for fixed charges only (in LDNO discounts and volumes adjusted for discount)</t>
  </si>
  <si>
    <t>x7 = 3604. Capacity charge p/kVA/day (in All the way tariffs)</t>
  </si>
  <si>
    <t>x8 = 3604. Reactive power charge p/kVArh (in All the way tariffs)</t>
  </si>
  <si>
    <t>=ROUND(x1*(1-x2),3)</t>
  </si>
  <si>
    <t>=ROUND(x3*(1-x2),3)</t>
  </si>
  <si>
    <t>=ROUND(x4*(1-x2),3)</t>
  </si>
  <si>
    <t>=ROUND(x5*(1-x6),2)</t>
  </si>
  <si>
    <t>=ROUND(x7*(1-x2),2)</t>
  </si>
  <si>
    <t>=ROUND(x8*(1-x2),3)</t>
  </si>
  <si>
    <t>3701. Tariffs</t>
  </si>
  <si>
    <t>x1 = 3607. Unit rate 1 p/kWh (in Tariffs)</t>
  </si>
  <si>
    <t>x2 = 3607. Unit rate 2 p/kWh (in Tariffs)</t>
  </si>
  <si>
    <t>x3 = 3607. Unit rate 3 p/kWh (in Tariffs)</t>
  </si>
  <si>
    <t>x4 = 3607. Fixed charge p/MPAN/day (in Tariffs)</t>
  </si>
  <si>
    <t>x5 = 3607. Capacity charge p/kVA/day (in Tariffs)</t>
  </si>
  <si>
    <t>x6 = 3607. Reactive power charge p/kVArh (in Tariffs)</t>
  </si>
  <si>
    <t>Input data</t>
  </si>
  <si>
    <t>= x3</t>
  </si>
  <si>
    <t>= x4</t>
  </si>
  <si>
    <t>= x6</t>
  </si>
  <si>
    <t>Open LLFCs</t>
  </si>
  <si>
    <t>PCs</t>
  </si>
  <si>
    <t>Closed LLFCs</t>
  </si>
  <si>
    <t>5-8</t>
  </si>
  <si>
    <t>This sheet is for information only.  It can be deleted without affecting any calculations elsewhere in the model.</t>
  </si>
  <si>
    <t xml:space="preserve"> </t>
  </si>
  <si>
    <t>x2 = 3606. Total net revenues from scaler (£) (in Revenue forecast summary)</t>
  </si>
  <si>
    <t>x3 = 3606. Deviation from target revenue (£) (in Revenue forecast summary)</t>
  </si>
  <si>
    <t>Over/under recovery</t>
  </si>
  <si>
    <t>3802. Revenue summary</t>
  </si>
  <si>
    <t>x1 = 1053. Rate 1 units (MWh) by tariff (in Volume forecasts for the charging year)</t>
  </si>
  <si>
    <t>x2 = 1053. Rate 2 units (MWh) by tariff (in Volume forecasts for the charging year)</t>
  </si>
  <si>
    <t>x3 = 1053. Rate 3 units (MWh) by tariff (in Volume forecasts for the charging year)</t>
  </si>
  <si>
    <t>x4 = 1053. MPANs by tariff (in Volume forecasts for the charging year)</t>
  </si>
  <si>
    <t>x6 = 3607. Fixed charge p/MPAN/day (in Tariffs)</t>
  </si>
  <si>
    <t>x7 = 3607. Capacity charge p/kVA/day (in Tariffs)</t>
  </si>
  <si>
    <t>x8 = 1053. Import capacity (kVA) by tariff (in Volume forecasts for the charging year)</t>
  </si>
  <si>
    <t>x9 = 3607. Unit rate 1 p/kWh (in Tariffs)</t>
  </si>
  <si>
    <t>x10 = 3607. Unit rate 2 p/kWh (in Tariffs)</t>
  </si>
  <si>
    <t>x11 = 3607. Unit rate 3 p/kWh (in Tariffs)</t>
  </si>
  <si>
    <t>x12 = 3607. Reactive power charge p/kVArh (in Tariffs)</t>
  </si>
  <si>
    <t>x13 = 1053. Reactive power units (MVArh) by tariff (in Volume forecasts for the charging year)</t>
  </si>
  <si>
    <t>x14 = All units (MWh) (in Revenue summary)</t>
  </si>
  <si>
    <t>x15 = Net revenues (£) (in Revenue summary)</t>
  </si>
  <si>
    <t>x16 = MPANs by tariff (in Volume forecasts for the charging year) (copy) (in Revenue summary)</t>
  </si>
  <si>
    <t>x17 = Revenues from unit rates (£) (in Revenue summary)</t>
  </si>
  <si>
    <t>x18 = Net revenues from unit rate 1 (£) (in Revenue summary)</t>
  </si>
  <si>
    <t>x19 = Net revenues from unit rate 2 (£) (in Revenue summary)</t>
  </si>
  <si>
    <t>x20 = Net revenues from unit rate 3 (£) (in Revenue summary)</t>
  </si>
  <si>
    <t>x21 = Revenues from fixed charges (£) (in Revenue summary)</t>
  </si>
  <si>
    <t>x22 = Revenues from capacity charges (£) (in Revenue summary)</t>
  </si>
  <si>
    <t>x23 = Revenues from reactive power charges (£) (in Revenue summary)</t>
  </si>
  <si>
    <t>=x1+x2+x3</t>
  </si>
  <si>
    <t>=0.01*x5*(x6*x4+x7*x8)+10*(x9*x1+x10*x2+x11*x3+x12*x13)</t>
  </si>
  <si>
    <t>=10*(x9*x1+x10*x2+x11*x3)</t>
  </si>
  <si>
    <t>=x6*x5*x4/100</t>
  </si>
  <si>
    <t>=x7*x5*x8/100</t>
  </si>
  <si>
    <t>=x12*x13*10</t>
  </si>
  <si>
    <t>=IF(x14&lt;&gt;0,0.1*x15/x14,"")</t>
  </si>
  <si>
    <t>=IF(x16&lt;&gt;0,x15/x16,"")</t>
  </si>
  <si>
    <t>=IF(x14&lt;&gt;0,0.1*x17/x14,0)</t>
  </si>
  <si>
    <t>=x9*x1*10</t>
  </si>
  <si>
    <t>=x10*x2*10</t>
  </si>
  <si>
    <t>=x11*x3*10</t>
  </si>
  <si>
    <t>=IF(x17&lt;&gt;0,x18/x17,"")</t>
  </si>
  <si>
    <t>=IF(x17&lt;&gt;0,x19/x17,"")</t>
  </si>
  <si>
    <t>=IF(x17&lt;&gt;0,x20/x17,"")</t>
  </si>
  <si>
    <t>=IF(x15&lt;&gt;0,x21/x15,"")</t>
  </si>
  <si>
    <t>=IF(x15&lt;&gt;0,x22/x15,"")</t>
  </si>
  <si>
    <t>=IF(x15&lt;&gt;0,x23/x15,"")</t>
  </si>
  <si>
    <t>Net revenues (£)</t>
  </si>
  <si>
    <t>Revenues from unit rates (£)</t>
  </si>
  <si>
    <t>Revenues from fixed charges (£)</t>
  </si>
  <si>
    <t>Revenues from capacity charges (£)</t>
  </si>
  <si>
    <t>Revenues from reactive power charges (£)</t>
  </si>
  <si>
    <t>Average p/kWh</t>
  </si>
  <si>
    <t>Average £/MPAN</t>
  </si>
  <si>
    <t>Average unit rate p/kWh</t>
  </si>
  <si>
    <t>Net revenues from unit rate 1 (£)</t>
  </si>
  <si>
    <t>Net revenues from unit rate 2 (£)</t>
  </si>
  <si>
    <t>Net revenues from unit rate 3 (£)</t>
  </si>
  <si>
    <t>Rate 1 revenue proportion</t>
  </si>
  <si>
    <t>Rate 2 revenue proportion</t>
  </si>
  <si>
    <t>Rate 3 revenue proportion</t>
  </si>
  <si>
    <t>Fixed charge proportion</t>
  </si>
  <si>
    <t>Capacity charge proportion</t>
  </si>
  <si>
    <t>Reactive power charge proportion</t>
  </si>
  <si>
    <t>3803. Revenue summary by tariff component</t>
  </si>
  <si>
    <t>x1 = 3802. All units (MWh) (in Revenue summary)</t>
  </si>
  <si>
    <t>x2 = 3802. MPANs by tariff (in Volume forecasts for the charging year) (copy) (in Revenue summary)</t>
  </si>
  <si>
    <t>x3 = 3802. Net revenues (£) (in Revenue summary)</t>
  </si>
  <si>
    <t>x4 = 3802. Revenues from unit rates (£) (in Revenue summary)</t>
  </si>
  <si>
    <t>x5 = 3802. Revenues from fixed charges (£) (in Revenue summary)</t>
  </si>
  <si>
    <t>x6 = 3802. Revenues from capacity charges (£) (in Revenue summary)</t>
  </si>
  <si>
    <t>x7 = 3802. Revenues from reactive power charges (£) (in Revenue summary)</t>
  </si>
  <si>
    <t>=SUM(x7)</t>
  </si>
  <si>
    <t>Total units (MWh)</t>
  </si>
  <si>
    <t>Total MPANs</t>
  </si>
  <si>
    <t>Total net revenues from unit rates (£)</t>
  </si>
  <si>
    <t>Total revenues from fixed charges (£)</t>
  </si>
  <si>
    <t>Total revenues from capacity charges (£)</t>
  </si>
  <si>
    <t>Total revenues from reactive power charges (£)</t>
  </si>
  <si>
    <t>Revenue summary by tariff component</t>
  </si>
  <si>
    <t>This document, model or dataset has been prepared by Reckon LLP on the instructions of the DCUSA Panel or</t>
  </si>
  <si>
    <t>one of its working groups.  Only the DCUSA Panel and its working groups have authority to approve this</t>
  </si>
  <si>
    <t>material as meeting their requirements.  Reckon LLP makes no representation about the suitability of this</t>
  </si>
  <si>
    <t>material for the purposes of complying with any licence conditions or furthering any relevant objective.</t>
  </si>
  <si>
    <t>Technical notes, configuration and code identification</t>
  </si>
  <si>
    <t>---</t>
  </si>
  <si>
    <t>PerlModule: CDCM</t>
  </si>
  <si>
    <t>colour: orange</t>
  </si>
  <si>
    <t>drm: top500gsp</t>
  </si>
  <si>
    <t>extraLevels: 1</t>
  </si>
  <si>
    <t>noReplacement: blanket</t>
  </si>
  <si>
    <t>pcd: 1</t>
  </si>
  <si>
    <t>portfolio: 1</t>
  </si>
  <si>
    <t>protect: 1</t>
  </si>
  <si>
    <t>scaler: levelledpickexitnogenminzero</t>
  </si>
  <si>
    <t>standing: sub132</t>
  </si>
  <si>
    <t>validation: lenientnomsg</t>
  </si>
  <si>
    <t>'~codeValidation':</t>
  </si>
  <si>
    <t xml:space="preserve">  CDCM/Matching.pm: d81128fb35c766acb5a3e9e89aaa4b595f9fe402</t>
  </si>
  <si>
    <t xml:space="preserve">  CDCM/Revenue.pm: 5ac88d48b3f27e3bcfe429b76e902aad6c9a8ded</t>
  </si>
  <si>
    <t xml:space="preserve">  CDCM/SML.pm: 9a59ad5be0f50b659561a33cd43b28b764d8f07d</t>
  </si>
  <si>
    <t xml:space="preserve">  CDCM/Setup.pm: b54690e66166bcd6c403e199d9db536713bae46b</t>
  </si>
  <si>
    <t xml:space="preserve">  SpreadsheetModel/Custom.pm: ba775a3f973deebb6f66fb33b97e32847a1700ad</t>
  </si>
  <si>
    <t xml:space="preserve">  SpreadsheetModel/GroupBy.pm: 289df4c58bbfea7cee8fbc376fa82bb2c266eeff</t>
  </si>
  <si>
    <t xml:space="preserve">  SpreadsheetModel/Label.pm: 053d8801da63a168d467ae3cf12c6c32325befe3</t>
  </si>
  <si>
    <t xml:space="preserve">  SpreadsheetModel/Reshape.pm: db327684ed6c50c3084959ea625b473eb287e3c8</t>
  </si>
  <si>
    <t xml:space="preserve">  SpreadsheetModel/SegmentRoot.pm: ecdfe570dcb673e31228edd1da3569cc1140a6a7</t>
  </si>
  <si>
    <t xml:space="preserve">  SpreadsheetModel/Shortcuts.pm: 81b68efc70dd2263c3478f3ce3269cf6ebb3ee8b</t>
  </si>
  <si>
    <t xml:space="preserve">  SpreadsheetModel/SumProduct.pm: 25580363232a65f6bf14f9c3c5941af65abcfea7</t>
  </si>
  <si>
    <t>This sheet contains the CDCM tariffs that are produced from the CDCM input data, after the Macro on this sheet has been run.  It contains the tariffs for each of the 5 years.</t>
  </si>
  <si>
    <t>Tariffs ARP</t>
  </si>
  <si>
    <t>This sheet contains the CDCM input sheet for base year +4 (Y+4) in a format that can be copy and pasted (paste-value) into the CDCM spreadsheet model.</t>
  </si>
  <si>
    <t>CDCM Input Sheet (Y + 4)</t>
  </si>
  <si>
    <t>This sheet contains the CDCM input sheet for base year +3 (Y+3) in a format that can be copy and pasted (paste-value) into the CDCM spreadsheet model.</t>
  </si>
  <si>
    <t>CDCM Input Sheet (Y + 3)</t>
  </si>
  <si>
    <t>This sheet contains the CDCM input sheet for base year +2 (Y+2) in a format that can be copy and pasted (paste-value) into the CDCM spreadsheet model.</t>
  </si>
  <si>
    <t>CDCM Input Sheet (Y + 2)</t>
  </si>
  <si>
    <t>This sheet contains the CDCM input sheet for base year +1 (Y+1) in a format that can be copy and pasted (paste-value) into the CDCM spreadsheet model.</t>
  </si>
  <si>
    <t>CDCM Input Sheet (Y + 1)</t>
  </si>
  <si>
    <t>This sheet contains the CDCM input sheet for base year 0 (Y) in a format that can be copy and pasted (paste-value) into the CDCM spreadsheet model.</t>
  </si>
  <si>
    <t>CDCM Input Sheet (Y)</t>
  </si>
  <si>
    <t>Contains the time bands that the DNO plans to use for the coming year and advance warning of any changes.</t>
  </si>
  <si>
    <t>CDCM Timebands</t>
  </si>
  <si>
    <t>This sheet contains forecast CDCM volume data (table 1053).  The matrix at the top can be used to apply different growth rates to groups of customers.</t>
  </si>
  <si>
    <t>CDCM Volume Forecasts</t>
  </si>
  <si>
    <t>This sheet contains the forecast CDCM matrix of applicability data (table 1025 - 1028).  The default value is that the same matrix will be used for each of the five years.</t>
  </si>
  <si>
    <t>Mat of App</t>
  </si>
  <si>
    <t>This sheet contains historical and forecast data for all CDCM inputs except for volume data (table 1053) and matrix of applicability data (table 1025 - 1028).
The RPI forecast is seperated out and listed as a standalone assumption.  Any forecasts that relate to RPI will be linked to this row.
Comments are provided alongside each forecast explaining any assumptions made by the DNO.</t>
  </si>
  <si>
    <t>CDCM Forecast Data</t>
  </si>
  <si>
    <t>This sheet contains the DNO's commentary on the forecast input CDCM data for the forecast over the 5 year period.</t>
  </si>
  <si>
    <t>Commentary</t>
  </si>
  <si>
    <t>Detail</t>
  </si>
  <si>
    <t>Sheet Name</t>
  </si>
  <si>
    <t>Contents:</t>
  </si>
  <si>
    <t>Date of Issue:</t>
  </si>
  <si>
    <t>Company:</t>
  </si>
  <si>
    <t>Overall % change to Use of System Charges effective 1st April of Regulatory Year to balance (M)</t>
  </si>
  <si>
    <t>Ft / Ft-1</t>
  </si>
  <si>
    <t>Forecast overall percentage change to Allowed Revenue (L)</t>
  </si>
  <si>
    <t>being K - G - F + I2</t>
  </si>
  <si>
    <t>Forecast Over / (Under) Recovery 
[being (K - G - F + I2]</t>
  </si>
  <si>
    <t>Final Collected Revenue Forecast (K)</t>
  </si>
  <si>
    <t>CDCM Revenue Used in Charging Model</t>
  </si>
  <si>
    <t>J =  H - I</t>
  </si>
  <si>
    <t>Latest forecast of CDCM Collected Revenue (J): [J =  H - I]</t>
  </si>
  <si>
    <t>I = I1 + I2 + I3 + I4</t>
  </si>
  <si>
    <t>Total Revenue to be raised outside the CDCM (I): [I = I1 + I2 + I3 + I4]</t>
  </si>
  <si>
    <t>4. Revenue raised outside CDCM - blank or if required please provide description (I4)</t>
  </si>
  <si>
    <t>3. Revenue raised outside CDCM - blank or if required please provide description (I3)</t>
  </si>
  <si>
    <t>2. Revenue raised outside CDCM - Voluntary under-recovery (I2)</t>
  </si>
  <si>
    <t>1. Revenue raised outside CDCM - EDCM and interconnector charges (I1)</t>
  </si>
  <si>
    <t>Total Revenue for Use of System Charges (H): 
[H =F + G]</t>
  </si>
  <si>
    <t>G = G1 + G2 + G3 + G4 +G5</t>
  </si>
  <si>
    <t>Total Other Revenue to be recovered by Use of System Charges (G): [G = G1 + G2 + G3 + G4 +G5]</t>
  </si>
  <si>
    <t>Other 5. - blank or if required please provide description (G5)</t>
  </si>
  <si>
    <t>Other 4. - blank or if required please provide description (G4)</t>
  </si>
  <si>
    <t>Other 3. Excluded services - Miscellaneous (G3)</t>
  </si>
  <si>
    <t>Other 2. Excluded services - Revenue protection services (G2)</t>
  </si>
  <si>
    <t>Other 1. Excluded services - Top-up, standby, and enhanced system security (G1)</t>
  </si>
  <si>
    <t>F= A + B + C + D + E</t>
  </si>
  <si>
    <t>Total allowed Revenue (F): 
[F= A + B + C + D + E]</t>
  </si>
  <si>
    <t>Tax Trigger Mechanism Adjustment (E)</t>
  </si>
  <si>
    <t>Correction Factor (D)</t>
  </si>
  <si>
    <t>C = C1 + C2 + C3 + C4 + C5 + C6 + C7</t>
  </si>
  <si>
    <t>Incentive Revenue and Other Adjustments (C): 
[C = C1 + C2 + C3 + C4 + C5 + C6 + C7]</t>
  </si>
  <si>
    <t>Low Carbon Networks Fund (C7)</t>
  </si>
  <si>
    <t>CGSRAt,CGSSPt &amp; AUMt</t>
  </si>
  <si>
    <t>Connection Guaranteed Standards Systems &amp; Processes penalty (C6)</t>
  </si>
  <si>
    <t>Incentive revenue for Distributed Generation (C5)</t>
  </si>
  <si>
    <t>Innovation funding incentive adjustment (C4)</t>
  </si>
  <si>
    <t>Transmission connection point charges incentive adjustment (C3)</t>
  </si>
  <si>
    <t>Quality of service incentive adjustment (C2)</t>
  </si>
  <si>
    <t>Losses Incentive (C1)</t>
  </si>
  <si>
    <t>B = B1 + B2 + B3 +B4 + B5</t>
  </si>
  <si>
    <t>Allowed Pass-Through Items (B): 
[B = B1 + B2 + B3 +B4 + B5]</t>
  </si>
  <si>
    <t>Pass-Through Others (B5)</t>
  </si>
  <si>
    <t>Price Control Reopener (B4)</t>
  </si>
  <si>
    <t>Pass-Through Transmission Exit (B3)</t>
  </si>
  <si>
    <t>Pass-Through Licence Fees (B2)</t>
  </si>
  <si>
    <t>Pass-Through Business Rates (B1)</t>
  </si>
  <si>
    <t>A = A1 * A2 - A3</t>
  </si>
  <si>
    <t>Base Demand Revenue (A): 
[A = A1 * A2 - A3]</t>
  </si>
  <si>
    <t>Merger adjustment (A3)</t>
  </si>
  <si>
    <t>RPI Effective % (A2)</t>
  </si>
  <si>
    <t>Base Demand Before Inflation (A1)</t>
  </si>
  <si>
    <t>Regulatory Year</t>
  </si>
  <si>
    <t>t+4</t>
  </si>
  <si>
    <t>t+3</t>
  </si>
  <si>
    <t>t+2</t>
  </si>
  <si>
    <t>t+1</t>
  </si>
  <si>
    <t>t</t>
  </si>
  <si>
    <t>t-1</t>
  </si>
  <si>
    <t>t-2</t>
  </si>
  <si>
    <t>Assumptions</t>
  </si>
  <si>
    <t>Licence Term</t>
  </si>
  <si>
    <t>Description</t>
  </si>
  <si>
    <t xml:space="preserve">Date: </t>
  </si>
  <si>
    <t>Schedule 15 table 1</t>
  </si>
  <si>
    <t>1092 Average kVAr by kVA, by network level</t>
  </si>
  <si>
    <t>BLACK</t>
  </si>
  <si>
    <t>GREEN</t>
  </si>
  <si>
    <t>AMBER</t>
  </si>
  <si>
    <t>RED</t>
  </si>
  <si>
    <t>1069 Peaking probabilities by network level</t>
  </si>
  <si>
    <t>1068 Typical annual hours by distribution time band</t>
  </si>
  <si>
    <t>YELLOW</t>
  </si>
  <si>
    <t>1062 Average split of rate 2 units by distribution time band</t>
  </si>
  <si>
    <t>1061 Average split of rate 1 units by distribution time band</t>
  </si>
  <si>
    <t>1060 Customer contributions under current connection charging policy</t>
  </si>
  <si>
    <t>1059 Other Expenditure (£/year)</t>
  </si>
  <si>
    <t>1055 Transmission exit charges (£/year)</t>
  </si>
  <si>
    <t>1041 Load profile data for demand users: load factor</t>
  </si>
  <si>
    <t>1041 Load profile data for demand users: coincidence factor</t>
  </si>
  <si>
    <t>1037 Embedded network (LDNO) discounts</t>
  </si>
  <si>
    <t>1032 Loss adjustment factors to transmission</t>
  </si>
  <si>
    <t>1028 Matrix of applicability of HV service models to tariffs with fixed charges</t>
  </si>
  <si>
    <t>1026 Matrix of applicability of LV service models to unmetered tariffs</t>
  </si>
  <si>
    <t>1025 Matrix of applicability of LV service models to tariffs with fixed charges</t>
  </si>
  <si>
    <t>1023 HV service model asset cost (£)</t>
  </si>
  <si>
    <t>1022 LV service model asset cost (£)</t>
  </si>
  <si>
    <t>1020 Gross asset cost by network level (£)</t>
  </si>
  <si>
    <t>1019 Network model GSP demand (MW)</t>
  </si>
  <si>
    <t>1018 Proportion of relevant load going through 132kV/HV direct transformation</t>
  </si>
  <si>
    <t>1017 Diversity allowance between top and bottom of network level</t>
  </si>
  <si>
    <t>Days in the charging period</t>
  </si>
  <si>
    <t>1010 Financial and general assumptions</t>
  </si>
  <si>
    <t>1000 Company name, charging year and model version</t>
  </si>
  <si>
    <t>RPI Forecast:</t>
  </si>
  <si>
    <t>RIIO - ED1</t>
  </si>
  <si>
    <t>DPCR5</t>
  </si>
  <si>
    <t>DPCR -&gt;</t>
  </si>
  <si>
    <t>2017/18</t>
  </si>
  <si>
    <t>2016/17</t>
  </si>
  <si>
    <t>2015/16</t>
  </si>
  <si>
    <t>2014/15</t>
  </si>
  <si>
    <t>2013/14</t>
  </si>
  <si>
    <t>2012/13</t>
  </si>
  <si>
    <t>2011/12</t>
  </si>
  <si>
    <t>Charging Year -&gt;</t>
  </si>
  <si>
    <t>Y+4</t>
  </si>
  <si>
    <t>Y+3</t>
  </si>
  <si>
    <t>Y+2</t>
  </si>
  <si>
    <t>Y+1</t>
  </si>
  <si>
    <t>Y</t>
  </si>
  <si>
    <t>Y-1</t>
  </si>
  <si>
    <t>Y-2</t>
  </si>
  <si>
    <t>Year Ref -&gt;</t>
  </si>
  <si>
    <t>Forecast CDCM Values</t>
  </si>
  <si>
    <t>Historical CDCM Input Data (Actuals)</t>
  </si>
  <si>
    <t>Status</t>
  </si>
  <si>
    <t>Information to be used calculating tariffs in year t</t>
  </si>
  <si>
    <t>Y - 2</t>
  </si>
  <si>
    <t>Y - 3</t>
  </si>
  <si>
    <t>Y - 4</t>
  </si>
  <si>
    <t>2012/13 charges are set in 2011/12 using historical data for the previous three years</t>
  </si>
  <si>
    <t>1069 - Peaking probabilities by network level</t>
  </si>
  <si>
    <t>1062 - Average split of rate 2 units by distribution time band</t>
  </si>
  <si>
    <t>1061 - Average split of rate 1 units by distribution time band</t>
  </si>
  <si>
    <t>1041 - load profile for demand users - load factors</t>
  </si>
  <si>
    <t>2012/13 charges are set in 2011/12 using historical dats for the previous three years</t>
  </si>
  <si>
    <t>1041 - load profile for demand users - coincidence factors</t>
  </si>
  <si>
    <t>Year Y - 4</t>
  </si>
  <si>
    <t>Year Y - 3</t>
  </si>
  <si>
    <t>Year Y-2</t>
  </si>
  <si>
    <t>Year to which input data relates</t>
  </si>
  <si>
    <t>Year charges are set (year Y-1)</t>
  </si>
  <si>
    <t>Charges for (year Y)</t>
  </si>
  <si>
    <t>DNO</t>
  </si>
  <si>
    <t>Tariff</t>
  </si>
  <si>
    <t>Customer Category</t>
  </si>
  <si>
    <t>1053. Volume forecasts for the charging year:</t>
  </si>
  <si>
    <t>Total Reactive</t>
  </si>
  <si>
    <t>Total Import Capacity</t>
  </si>
  <si>
    <t>No. of MPANs</t>
  </si>
  <si>
    <t>Total Volume</t>
  </si>
  <si>
    <t>Summary Data</t>
  </si>
  <si>
    <t>Y + 4</t>
  </si>
  <si>
    <t>Y + 3</t>
  </si>
  <si>
    <t>Y + 2</t>
  </si>
  <si>
    <t>Y + 1</t>
  </si>
  <si>
    <t>REACTIVE POWER</t>
  </si>
  <si>
    <t>IMPORT CAPACITY</t>
  </si>
  <si>
    <t>CUSTOMER NUMBERS</t>
  </si>
  <si>
    <t>VOLUME - GREEN BAND</t>
  </si>
  <si>
    <t>VOLUME - AMBER BAND</t>
  </si>
  <si>
    <t>VOLUME - RED BAND</t>
  </si>
  <si>
    <t>Growth Rates (%)</t>
  </si>
  <si>
    <t>WE</t>
  </si>
  <si>
    <t xml:space="preserve">Amber </t>
  </si>
  <si>
    <t>WD 
(incl. bank holidays)</t>
  </si>
  <si>
    <t>Year 4:</t>
  </si>
  <si>
    <t>Year 3:</t>
  </si>
  <si>
    <t>Year 2:</t>
  </si>
  <si>
    <t>Year 1:</t>
  </si>
  <si>
    <t>Year 0:</t>
  </si>
  <si>
    <t>Shortcut</t>
  </si>
  <si>
    <t>TARIFF</t>
  </si>
  <si>
    <t>Typical Bills by Customer Category</t>
  </si>
  <si>
    <t>Source: operational data analysis.</t>
  </si>
  <si>
    <t>See notes on table 1061.</t>
  </si>
  <si>
    <t>This table relates to the second TPR or charging period for each tariff.</t>
  </si>
  <si>
    <t>the proportion of the units recorded on the relevant TPR or within the relevant charging period that would fall with each time band.</t>
  </si>
  <si>
    <t>For each user type and tariff structure, the figure entered against each of the time bands used for network analysis is</t>
  </si>
  <si>
    <t>Each line relates to a different user type and tariff structure.</t>
  </si>
  <si>
    <t>This table relates to the first TPR or charging period for each tariff.</t>
  </si>
  <si>
    <t>Table 1</t>
  </si>
  <si>
    <t>This sheet contains the DNO's table 1 produced in accordance with DCUSA Schedule 15 "cost information table".</t>
  </si>
  <si>
    <t>Input data (Y)</t>
  </si>
  <si>
    <t>Input data (Y+1)</t>
  </si>
  <si>
    <t>Input data (Y+2)</t>
  </si>
  <si>
    <t>Input data (Y+3)</t>
  </si>
  <si>
    <t>Input data (Y+4)</t>
  </si>
  <si>
    <t>Headline parameters</t>
  </si>
  <si>
    <t>=x3/x4</t>
  </si>
  <si>
    <t>x4 = 1076. Target CDCM net revenue (£/year)</t>
  </si>
  <si>
    <t>3801. Headline parameters</t>
  </si>
  <si>
    <t>'~datasetSource': Empty dataset</t>
  </si>
  <si>
    <t>'~datasetName': Blank</t>
  </si>
  <si>
    <t xml:space="preserve">  SpreadsheetModel/WorkbookXLSX.pm: 993aed4d3b85aea1488bfb58de2974b81e89d8a2</t>
  </si>
  <si>
    <t xml:space="preserve">  SpreadsheetModel/WorkbookFormats.pm: 905d271e9129bbf56d88509440a696e8755ce16c</t>
  </si>
  <si>
    <t xml:space="preserve">  SpreadsheetModel/Stack.pm: 124115bcc7dec07a0e5364ad9141a4ae1e3a036a</t>
  </si>
  <si>
    <t xml:space="preserve">  SpreadsheetModel/Notes.pm: 2a6746f93e5acd872d1f7ec2ed973f7993f0fa5b</t>
  </si>
  <si>
    <t xml:space="preserve">  SpreadsheetModel/Labelset.pm: ee0eb50104977e351e1be4e410bf1f49668fd61d</t>
  </si>
  <si>
    <t xml:space="preserve">  SpreadsheetModel/Dataset.pm: b8dfd43572706128f03c2e33c10d963541f09e75</t>
  </si>
  <si>
    <t xml:space="preserve">  SpreadsheetModel/Arithmetic.pm: 54292c9b7631fb6a860fdafeb8d065e05661bb3d</t>
  </si>
  <si>
    <t xml:space="preserve">  CDCM/Yardsticks.pm: 8bc0af24d08486e555ee227cb16e2fcd926e673f</t>
  </si>
  <si>
    <t xml:space="preserve">  CDCM/Tariffs.pm: c564fc5386a55bb382e13459f031eb2661aa424f</t>
  </si>
  <si>
    <t xml:space="preserve">  CDCM/TariffList.pm: c0ebac2b8114b5670cf91fd07b143e248ce20510</t>
  </si>
  <si>
    <t xml:space="preserve">  CDCM/Summary.pm: aea967a916f514ecaa8f1fa27a51bdf992ea4f35</t>
  </si>
  <si>
    <t xml:space="preserve">  CDCM/Standing.pm: ccfec510581933673aa436c83d44b7e5b406643e</t>
  </si>
  <si>
    <t xml:space="preserve">  CDCM/Sheets.pm: 9056e04901292c80776192d3de2d772fd7f34810</t>
  </si>
  <si>
    <t xml:space="preserve">  CDCM/ServiceModels.pm: 6aef717f9faaa1f39c59408c64cd9d3fb65533fe</t>
  </si>
  <si>
    <t xml:space="preserve">  CDCM/Routeing.pm: 6a11b166e265d08b1d15ad76463c510720a26086</t>
  </si>
  <si>
    <t xml:space="preserve">  CDCM/Reactive.pm: 6e686dc8db4920ca1d3c636234bbf7bbcefc348a</t>
  </si>
  <si>
    <t xml:space="preserve">  CDCM/Operating.pm: 44208c4912d7cd552726cce14284999a3a0b5a30</t>
  </si>
  <si>
    <t xml:space="preserve">  CDCM/NetworkSizer.pm: 2a6f2bfa1963c81211a527f5e03e88a5dc03044a</t>
  </si>
  <si>
    <t xml:space="preserve">  CDCM/Master.pm: b5f4b6ff8778da2e1503c9fdc87509f7fd6c62a7</t>
  </si>
  <si>
    <t xml:space="preserve">  CDCM/Loads.pm: e189d35f86b0afed721b9d312c97277b105f6170</t>
  </si>
  <si>
    <t xml:space="preserve">  CDCM/Discounts.pm: a280bef12652362101d3c41819b24a4fcdcfe09e</t>
  </si>
  <si>
    <t xml:space="preserve">  CDCM/Contributions.pm: 6e885137d44624bc27f019f73f2855e7e421ea9f</t>
  </si>
  <si>
    <t xml:space="preserve">  CDCM/Aggregation.pm: 7589177309138749aa5155e3a8a1e03067f95a2f</t>
  </si>
  <si>
    <t xml:space="preserve">  CDCM/AML.pm: b934447c539e2919d806373e38037ba937a4458a</t>
  </si>
  <si>
    <t xml:space="preserve">  Ancillary/Validation.pm: 96f25555ac9f150f8323e94672276d96629bbb9f</t>
  </si>
  <si>
    <t>targetRevenue: single</t>
  </si>
  <si>
    <t>summary: 1</t>
  </si>
  <si>
    <t>arp: 1</t>
  </si>
  <si>
    <t>x8 = 1076. Target CDCM net revenue (£/year)</t>
  </si>
  <si>
    <t>x1 = 3402. Total net revenues before matching (£) (in Revenue surplus or shortfall)</t>
  </si>
  <si>
    <t>x25 = 3402. Revenue shortfall (surplus) £ (in Revenue surplus or shortfall)</t>
  </si>
  <si>
    <t>x1 = 3402. Revenue shortfall (surplus) £ (in Revenue surplus or shortfall)</t>
  </si>
  <si>
    <t>x2 = 1076. Target CDCM net revenue (£/year)</t>
  </si>
  <si>
    <t>3402. Revenue surplus or shortfall</t>
  </si>
  <si>
    <t>x3 = 2905. Pay-as-you-go unit rate 3 (p/kWh) — for Tariffs with Unit rate 3 p/kWh from PAYG 3 kWh &amp; customer</t>
  </si>
  <si>
    <t>x2 = 2905. Pay-as-you-go unit rate 3 (p/kWh) — for Tariffs with Unit rate 3 p/kWh from PAYG 3 kWh</t>
  </si>
  <si>
    <t>x1 = 3006. Unit rate 3 total p/kWh (taking account of standing charges) — for Tariffs with Unit rate 3 p/kWh from Standard 3 kWh</t>
  </si>
  <si>
    <t>x3 = 2904. Pay-as-you-go unit rate 2 (p/kWh) — for Tariffs with Unit rate 2 p/kWh from PAYG 2 kWh &amp; customer</t>
  </si>
  <si>
    <t>x2 = 2904. Pay-as-you-go unit rate 2 (p/kWh) — for Tariffs with Unit rate 2 p/kWh from PAYG 2 kWh</t>
  </si>
  <si>
    <t>x1 = 3005. Unit rate 2 total p/kWh (taking account of standing charges) — for Tariffs with Unit rate 2 p/kWh from Standard 2 kWh</t>
  </si>
  <si>
    <t>x1 = 3004. Unit rate 1 total p/kWh (taking account of standing charges) — for Tariffs with Unit rate 1 p/kWh from Standard 1 kWh</t>
  </si>
  <si>
    <t>for active power credits at the voltage of connection but are charged reactive unit charges for costs caused at that voltage.</t>
  </si>
  <si>
    <t>These factors differ from the network use factors for active power charges/credits in the case of generators, who do not qualify</t>
  </si>
  <si>
    <t>x1 = 3003. Yardstick components p/kWh (taking account of standing charges)</t>
  </si>
  <si>
    <t>Calculation =(1-x1)*x2</t>
  </si>
  <si>
    <t>x2 = 2905. Contributions to pay-as-you-go unit rate 3 (p/kWh)</t>
  </si>
  <si>
    <t>3006. Contributions to unit rate 3 p/kWh by network level (taking account of standing charges)</t>
  </si>
  <si>
    <t>x2 = 2904. Contributions to pay-as-you-go unit rate 2 (p/kWh)</t>
  </si>
  <si>
    <t>3005. Contributions to unit rate 2 p/kWh by network level (taking account of standing charges)</t>
  </si>
  <si>
    <t>x2 = 2903. Contributions to pay-as-you-go unit rate 1 (p/kWh)</t>
  </si>
  <si>
    <t>3004. Contributions to unit rate 1 p/kWh by network level (taking account of standing charges)</t>
  </si>
  <si>
    <t>3003. Yardstick components p/kWh (taking account of standing charges)</t>
  </si>
  <si>
    <t>Calculation =x1*x2*x3*(1-x4)*100/(24*x5)</t>
  </si>
  <si>
    <t>2905. Contributions to pay-as-you-go unit rate 3 (p/kWh)</t>
  </si>
  <si>
    <t>2904. Contributions to pay-as-you-go unit rate 2 (p/kWh)</t>
  </si>
  <si>
    <t>2903. Contributions to pay-as-you-go unit rate 1 (p/kWh)</t>
  </si>
  <si>
    <t>Contribution to peak band kW</t>
  </si>
  <si>
    <t>Peak band special load coefficient</t>
  </si>
  <si>
    <t>x3 = Peak band special load coefficient (in Estimated contributions to peak demand)</t>
  </si>
  <si>
    <t>Peak band special load coefficient for three-rate tariffs</t>
  </si>
  <si>
    <t>Peak band special load coefficient for one-rate tariffs</t>
  </si>
  <si>
    <t>Peak band load coefficient</t>
  </si>
  <si>
    <t>Peak band load coefficient for three-rate tariffs</t>
  </si>
  <si>
    <t>Peak band load coefficient for two-rate tariffs</t>
  </si>
  <si>
    <t>voltage of connection. The factors in this table are before any adjustment for a 132kV/HV network level or for generation-dominated areas.</t>
  </si>
  <si>
    <t>generators receive credits only in respect of network levels above the voltage of connection. Generators do not receive credits at the</t>
  </si>
  <si>
    <t>These network use factors indicate to what extent each network level is used by each tariff. This table reflects the policy that</t>
  </si>
  <si>
    <t>Target CDCM net revenue (£/year)</t>
  </si>
  <si>
    <t>Source: mostly forecasts and price control formulae.</t>
  </si>
  <si>
    <t>1076. Target CDCM net revenue (£/year)</t>
  </si>
  <si>
    <t>This sheet contains all the input data (except LLFCs which can be entered directly into the Tariff sheet).</t>
  </si>
  <si>
    <t>Note: These tariffs are based on the assumptions set out in the CDCM forecast Data and CDCM Volume Forecast sheets.
If the assumptions in these sheets have been changed, the tariffs can be updated by pressing the button below.</t>
  </si>
  <si>
    <t>This is an ancillary sheet used in calculations</t>
  </si>
  <si>
    <t>8&amp;0</t>
  </si>
  <si>
    <t>LDNO HV: LV Generation NHH or Aggregate HH</t>
  </si>
  <si>
    <t>LDNO HV: LV Network Non-Domestic Non-CT</t>
  </si>
  <si>
    <t>LDNO HV: LV Network Domestic</t>
  </si>
  <si>
    <t>LDNO LV: LV Generation NHH or Aggregate HH</t>
  </si>
  <si>
    <t>LDNO LV: LV Network Non-Domestic Non-CT</t>
  </si>
  <si>
    <t>LDNO LV: LV Network Domestic</t>
  </si>
  <si>
    <t>LV Generation NHH or Aggregate HH</t>
  </si>
  <si>
    <t>LV Network Non-Domestic Non-CT</t>
  </si>
  <si>
    <t>LV Network Domestic</t>
  </si>
  <si>
    <t>&gt; LV Generation NHH or Aggregate HH</t>
  </si>
  <si>
    <t>&gt; LV Network Non-Domestic Non-CT</t>
  </si>
  <si>
    <t>&gt; LV Network Domestic</t>
  </si>
  <si>
    <t>Generated on Mon 28 Jul 2014 09:42:56</t>
  </si>
  <si>
    <t xml:space="preserve">  SpreadsheetModel/WorkbookCreate.pm: 909d93318f79c25e0b43974df51c724277c288fb</t>
  </si>
  <si>
    <t xml:space="preserve">  SpreadsheetModel/Object.pm: f770dfabcdb9d789841f6687c247b4bfd9bf0c32</t>
  </si>
  <si>
    <t xml:space="preserve">  SpreadsheetModel/Logger.pm: 091dff39b710a2108ad6c15a22bed26e92f8294d</t>
  </si>
  <si>
    <t xml:space="preserve">  SpreadsheetModel/Columnset.pm: bf4ed530c6330286762a49a4bf7da17807ba19da</t>
  </si>
  <si>
    <t xml:space="preserve">  CDCM/TimeOfDay179.pm: e70947c6d83ff85f272bf48b4497f168f876cb76</t>
  </si>
  <si>
    <t>timeOfDay: timeOfDay179</t>
  </si>
  <si>
    <t>template: '%+dcp179apr-arp'</t>
  </si>
  <si>
    <t>tariffs: commongensubdcp130dcp163pc12hhpc34hh</t>
  </si>
  <si>
    <t>illustrative: 1</t>
  </si>
  <si>
    <t>fixedCap: 1-4</t>
  </si>
  <si>
    <t>alwaysUseRAG: 1</t>
  </si>
  <si>
    <t>agghhequalisation: 1</t>
  </si>
  <si>
    <t>=x16*162+x17</t>
  </si>
  <si>
    <t>x1 = 3107. Fixed charge from standing charges factors p/MPAN/day — for Tariffs with Fixed charge p/MPAN/day from Fixed from network &amp; customer</t>
  </si>
  <si>
    <t>x6 = 2712. Operating expenditure for unmetered customer assets (p/kWh) — for Tariffs with Unit rate 1 p/kWh from PAYG 1 kWh &amp; customer</t>
  </si>
  <si>
    <t>x5 = 2203. Service model asset p/kWh charge for unmetered tariffs — for Tariffs with Unit rate 1 p/kWh from PAYG 1 kWh &amp; customer</t>
  </si>
  <si>
    <t>x4 = 2902. Pay-as-you-go yardstick unit rate (p/kWh) — for Tariffs with Unit rate 1 p/kWh from PAYG yardstick kWh</t>
  </si>
  <si>
    <t>x3 = 2903. Pay-as-you-go unit rate 1 (p/kWh) — for Tariffs with Unit rate 1 p/kWh from PAYG 1 kWh &amp; customer</t>
  </si>
  <si>
    <t>x2 = 2903. Pay-as-you-go unit rate 1 (p/kWh) — for Tariffs with Unit rate 1 p/kWh from PAYG 1 kWh</t>
  </si>
  <si>
    <t>x2 = 3106. Deemed average maximum kVA for each tariff</t>
  </si>
  <si>
    <t>3107. Capacity-driven fixed charge elements from standing charges factors p/MPAN/day</t>
  </si>
  <si>
    <t>Deemed average maximum kVA for each tariff</t>
  </si>
  <si>
    <t>x2 = 3105. Average maximum kVA by exit point</t>
  </si>
  <si>
    <t>x1 = 3101. Mapping of tariffs to tariff groups</t>
  </si>
  <si>
    <t>3106. Deemed average maximum kVA for each tariff</t>
  </si>
  <si>
    <t>Average maximum kVA by exit point</t>
  </si>
  <si>
    <t>HV network aggregated tariffs</t>
  </si>
  <si>
    <t>LV substation aggregated tariffs</t>
  </si>
  <si>
    <t>LV medium non-domestic tariffs</t>
  </si>
  <si>
    <t>LV domestic and small non-domestic tariffs</t>
  </si>
  <si>
    <t>Calculation =IF(x1,x2/x1/x3,0)</t>
  </si>
  <si>
    <t>x2 = 3104. Aggregate capacity (kW)</t>
  </si>
  <si>
    <t>x1 = 3103. Aggregate number of users charged for capacity on an exit point basis</t>
  </si>
  <si>
    <t>3105. Average maximum kVA by exit point</t>
  </si>
  <si>
    <t>Aggregate capacity (kW)</t>
  </si>
  <si>
    <t>x2 = 3102. Unit-based contributions to aggregate maximum load (kW) (in Capacity use for tariffs charged for capacity on an exit point basis)</t>
  </si>
  <si>
    <t>3104. Aggregate capacity (kW)</t>
  </si>
  <si>
    <t>Aggregate number of users charged for capacity on an exit point basis</t>
  </si>
  <si>
    <t>x2 = 3102. MPANs (in Equivalent volume for each end user) (in Capacity use for tariffs charged for capacity on an exit point basis)</t>
  </si>
  <si>
    <t>3103. Aggregate number of users charged for capacity on an exit point basis</t>
  </si>
  <si>
    <t>Unit-based contributions to aggregate maximum load (kW)</t>
  </si>
  <si>
    <t>=x1/x2/(24*x3)*1000</t>
  </si>
  <si>
    <t>x4 = 2305. MPANs (in Equivalent volume for each end user)</t>
  </si>
  <si>
    <t>3102. Capacity use for tariffs charged for capacity on an exit point basis</t>
  </si>
  <si>
    <t>3101. Mapping of tariffs to tariff groups</t>
  </si>
  <si>
    <t>x1 = 2461. Unit rate 3 pseudo load coefficient by network level (combined)</t>
  </si>
  <si>
    <t>x1 = 2460. Unit rate 2 pseudo load coefficient by network level (combined)</t>
  </si>
  <si>
    <t>x1 = 2459. Unit rate 1 pseudo load coefficient by network level (combined)</t>
  </si>
  <si>
    <t>x6 = 2461. Unit rate 3 pseudo load coefficient by network level (combined)</t>
  </si>
  <si>
    <t>x4 = 2460. Unit rate 2 pseudo load coefficient by network level (combined)</t>
  </si>
  <si>
    <t>x2 = 2459. Unit rate 1 pseudo load coefficient by network level (combined)</t>
  </si>
  <si>
    <t>x2 = 2458. Unit rate 3 pseudo load coefficient by network level (special)</t>
  </si>
  <si>
    <t>x1 = 2442. Unit rate 3 pseudo load coefficient by network level</t>
  </si>
  <si>
    <t>2461. Unit rate 3 pseudo load coefficient by network level (combined)</t>
  </si>
  <si>
    <t>x2 = 2457. Unit rate 2 pseudo load coefficient by network level (special)</t>
  </si>
  <si>
    <t>x1 = 2441. Unit rate 2 pseudo load coefficient by network level</t>
  </si>
  <si>
    <t>2460. Unit rate 2 pseudo load coefficient by network level (combined)</t>
  </si>
  <si>
    <t>x2 = 2456. Unit rate 1 pseudo load coefficient by network level (special)</t>
  </si>
  <si>
    <t>x1 = 2440. Unit rate 1 pseudo load coefficient by network level</t>
  </si>
  <si>
    <t>2459. Unit rate 1 pseudo load coefficient by network level (combined)</t>
  </si>
  <si>
    <t>x2 = 2447. Split of rate 3 units between special distribution time bands (default)</t>
  </si>
  <si>
    <t>x1 = 2455. Pseudo load coefficient by time band and network level</t>
  </si>
  <si>
    <t>2458. Unit rate 3 pseudo load coefficient by network level (special)</t>
  </si>
  <si>
    <t>x2 = 2446. Split of rate 2 units between special distribution time bands (default)</t>
  </si>
  <si>
    <t>2457. Unit rate 2 pseudo load coefficient by network level (special)</t>
  </si>
  <si>
    <t>x2 = 2445. Split of rate 1 units between special distribution time bands</t>
  </si>
  <si>
    <t>2456. Unit rate 1 pseudo load coefficient by network level (special)</t>
  </si>
  <si>
    <t>Pseudo load coefficient by time band and network level</t>
  </si>
  <si>
    <t>x3 = 2454. Special peaking probabilities by network level (reshaped)</t>
  </si>
  <si>
    <t>x2 = 2451. Load coefficient correction factor for the group</t>
  </si>
  <si>
    <t>x1 = 2443. Annual hours by special distribution time band (reconciled to days in year) (in Adjust annual hours by special distribution time band to match days in year)</t>
  </si>
  <si>
    <t>2455. Pseudo load coefficient by time band and network level</t>
  </si>
  <si>
    <t>x1 = 2453. Special peaking probabilities by network level</t>
  </si>
  <si>
    <t>2454. Special peaking probabilities by network level (reshaped)</t>
  </si>
  <si>
    <t>x3 = 2452. Black peaking probabilities (in Calculation of special peaking probabilities)</t>
  </si>
  <si>
    <t>x2 = 2452. Yellow peaking probabilities (in Calculation of special peaking probabilities)</t>
  </si>
  <si>
    <t>x1 = 2452. Green peaking probabilities (in Calculation of special peaking probabilities)</t>
  </si>
  <si>
    <t>2453. Special peaking probabilities by network level</t>
  </si>
  <si>
    <t>x8 = 2443. Annual hours by special distribution time band (reconciled to days in year) (in Adjust annual hours by special distribution time band to match days in year)</t>
  </si>
  <si>
    <t>x1 = 2412. Normalised peaking probabilities (in Normalisation of peaking probabilities)</t>
  </si>
  <si>
    <t>2452. Calculation of special peaking probabilities</t>
  </si>
  <si>
    <t>Load coefficient correction factor for the group</t>
  </si>
  <si>
    <t>Calculation =IF(SUM(x1),SUM(x2)/SUM(x1),0)</t>
  </si>
  <si>
    <t>x2 = 2450. Contribution to system-peak-time kW (in Estimated contributions to peak demand)</t>
  </si>
  <si>
    <t>x1 = 2450. Contribution to peak band kW (in Estimated contributions to peak demand)</t>
  </si>
  <si>
    <t>2451. Load coefficient correction factor for the group</t>
  </si>
  <si>
    <t>x2 = 2449. Peak band special load coefficient for three-rate tariffs (in Calculation of implied special load coefficients for three-rate users)</t>
  </si>
  <si>
    <t>x1 = 2448. Peak band special load coefficient for one-rate tariffs (in Calculation of implied special load coefficients for one-rate users)</t>
  </si>
  <si>
    <t>2450. Estimated contributions to peak demand</t>
  </si>
  <si>
    <t>x7 = 2447. Split of rate 3 units between special distribution time bands (default)</t>
  </si>
  <si>
    <t>x5 = 2446. Split of rate 2 units between special distribution time bands (default)</t>
  </si>
  <si>
    <t>x3 = 2445. Split of rate 1 units between special distribution time bands</t>
  </si>
  <si>
    <t>2449. Calculation of implied special load coefficients for three-rate users</t>
  </si>
  <si>
    <t>x4 = 2443. Annual hours by special distribution time band (reconciled to days in year) (in Adjust annual hours by special distribution time band to match days in year)</t>
  </si>
  <si>
    <t>2448. Calculation of implied special load coefficients for one-rate users</t>
  </si>
  <si>
    <t>2447. Split of rate 3 units between special distribution time bands (default)</t>
  </si>
  <si>
    <t>2446. Split of rate 2 units between special distribution time bands (default)</t>
  </si>
  <si>
    <t>x1 = 2444. Normalised split of rate 1 units by special distribution time band (in Normalisation of split of rate 1 units by special time band)</t>
  </si>
  <si>
    <t>2445. Split of rate 1 units between special distribution time bands</t>
  </si>
  <si>
    <t>x3 = 2443. Annual hours by special distribution time band (reconciled to days in year) (in Adjust annual hours by special distribution time band to match days in year)</t>
  </si>
  <si>
    <t>2444. Normalisation of split of rate 1 units by special time band</t>
  </si>
  <si>
    <t>2443. Adjust annual hours by special distribution time band to match days in year</t>
  </si>
  <si>
    <t>x1 = 2439. Pseudo load coefficient by time band and network level (equalised)</t>
  </si>
  <si>
    <t>2442. Unit rate 3 pseudo load coefficient by network level</t>
  </si>
  <si>
    <t>2441. Unit rate 2 pseudo load coefficient by network level</t>
  </si>
  <si>
    <t>2440. Unit rate 1 pseudo load coefficient by network level</t>
  </si>
  <si>
    <t>x5 = 2414. Pseudo load coefficient by time band and network level</t>
  </si>
  <si>
    <t>x4 = 2438. Aggregated half hourly corrected pseudo timeband load coefficient</t>
  </si>
  <si>
    <t>x3 = 2437. Off-peak non half hourly corrected pseudo timeband load coefficient</t>
  </si>
  <si>
    <t>x2 = 2436. Multi rate non half hourly corrected pseudo timeband load coefficient</t>
  </si>
  <si>
    <t>x1 = 2435. Single rate non half hourly corrected pseudo timeband load coefficient</t>
  </si>
  <si>
    <t>2439. Pseudo load coefficient by time band and network level (equalised)</t>
  </si>
  <si>
    <t>x3 = 2430. Relative correction factor for aggregated half hourly tariff</t>
  </si>
  <si>
    <t>x2 = 2434. Correction factor for non half hourly tariffs</t>
  </si>
  <si>
    <t>x1 = 2415. Aggregated half hourly pseudo timeband load coefficients</t>
  </si>
  <si>
    <t>2438. Aggregated half hourly corrected pseudo timeband load coefficient</t>
  </si>
  <si>
    <t>x1 = 2424. Off-peak non half hourly pseudo timeband load coefficients</t>
  </si>
  <si>
    <t>2437. Off-peak non half hourly corrected pseudo timeband load coefficient</t>
  </si>
  <si>
    <t>x1 = 2427. Multi rate non half hourly pseudo timeband load coefficients</t>
  </si>
  <si>
    <t>2436. Multi rate non half hourly corrected pseudo timeband load coefficient</t>
  </si>
  <si>
    <t>x1 = 2426. Single rate non half hourly tariff load coefficient</t>
  </si>
  <si>
    <t>2435. Single rate non half hourly corrected pseudo timeband load coefficient</t>
  </si>
  <si>
    <t>Non-domestic equalisation group</t>
  </si>
  <si>
    <t>Domestic equalisation group</t>
  </si>
  <si>
    <t>Calculation =(x1*x2+x3*x4+x5*x6+x7*x8)/(x1*x2+x3*x4+x5*x6+x7*x8*x9)</t>
  </si>
  <si>
    <t>x9 = 2430. Relative correction factor for aggregated half hourly tariff</t>
  </si>
  <si>
    <t>x8 = 2433. Aggregated half hourly tariff pseudo load coefficient</t>
  </si>
  <si>
    <t>x7 = 2431. Aggregated half hourly units (MWh)</t>
  </si>
  <si>
    <t>x6 = 2425. Off-peak non half hourly tariff pseudo load coefficient</t>
  </si>
  <si>
    <t>x5 = 2416. Off-peak non half hourly units (MWh)</t>
  </si>
  <si>
    <t>x4 = 2428. Multi rate non half hourly tariff pseudo load coefficient</t>
  </si>
  <si>
    <t>x3 = 2418. Multi rate non half hourly units (MWh)</t>
  </si>
  <si>
    <t>x2 = 2426. Single rate non half hourly tariff load coefficient</t>
  </si>
  <si>
    <t>x1 = 2420. Single rate non half hourly units (MWh)</t>
  </si>
  <si>
    <t>2434. Correction factor for non half hourly tariffs</t>
  </si>
  <si>
    <t>x2 = 2432. Aggregated half hourly timeband use</t>
  </si>
  <si>
    <t>2433. Aggregated half hourly tariff pseudo load coefficient</t>
  </si>
  <si>
    <t>x1 = 2410. Use of distribution time bands by units in demand forecast for three-rate tariffs (in Calculation of implied load coefficients for three-rate users)</t>
  </si>
  <si>
    <t>2432. Aggregated half hourly timeband use</t>
  </si>
  <si>
    <t>Aggregated half hourly units (MWh)</t>
  </si>
  <si>
    <t>2431. Aggregated half hourly units (MWh)</t>
  </si>
  <si>
    <t>x2 = 2423. Aggregated half hourly tariff pseudo load coefficient using average non half hourly unit mix</t>
  </si>
  <si>
    <t>x1 = 2429. Average non half hourly tariff pseudo load coefficient</t>
  </si>
  <si>
    <t>2430. Relative correction factor for aggregated half hourly tariff</t>
  </si>
  <si>
    <t>Calculation =(x1*x2+x3*x4+x5*x6)/(x1+x3+x5)</t>
  </si>
  <si>
    <t>2429. Average non half hourly tariff pseudo load coefficient</t>
  </si>
  <si>
    <t>x2 = 2421. Multi rate non half hourly timeband use</t>
  </si>
  <si>
    <t>2428. Multi rate non half hourly tariff pseudo load coefficient</t>
  </si>
  <si>
    <t>x1 = 2414. Pseudo load coefficient by time band and network level</t>
  </si>
  <si>
    <t>2427. Multi rate non half hourly pseudo timeband load coefficients</t>
  </si>
  <si>
    <t>Single rate non half hourly tariff load coefficient</t>
  </si>
  <si>
    <t>2426. Single rate non half hourly tariff load coefficient</t>
  </si>
  <si>
    <t>x2 = 2417. Off-peak non half hourly timeband use</t>
  </si>
  <si>
    <t>2425. Off-peak non half hourly tariff pseudo load coefficient</t>
  </si>
  <si>
    <t>2424. Off-peak non half hourly pseudo timeband load coefficients</t>
  </si>
  <si>
    <t>x2 = 2422. Average non half hourly timeband use</t>
  </si>
  <si>
    <t>2423. Aggregated half hourly tariff pseudo load coefficient using average non half hourly unit mix</t>
  </si>
  <si>
    <t>x6 = 2417. Off-peak non half hourly timeband use</t>
  </si>
  <si>
    <t>x4 = 2421. Multi rate non half hourly timeband use</t>
  </si>
  <si>
    <t>x2 = 2419. Single rate non half hourly timeband use</t>
  </si>
  <si>
    <t>2422. Average non half hourly timeband use</t>
  </si>
  <si>
    <t>x1 = 2409. Use of distribution time bands by units in demand forecast for two-rate tariffs (in Calculation of implied load coefficients for two-rate users)</t>
  </si>
  <si>
    <t>2421. Multi rate non half hourly timeband use</t>
  </si>
  <si>
    <t>Single rate non half hourly units (MWh)</t>
  </si>
  <si>
    <t>2420. Single rate non half hourly units (MWh)</t>
  </si>
  <si>
    <t>x1 = 2403. Split of rate 1 units between distribution time bands</t>
  </si>
  <si>
    <t>2419. Single rate non half hourly timeband use</t>
  </si>
  <si>
    <t>Multi rate non half hourly units (MWh)</t>
  </si>
  <si>
    <t>2418. Multi rate non half hourly units (MWh)</t>
  </si>
  <si>
    <t>2417. Off-peak non half hourly timeband use</t>
  </si>
  <si>
    <t>Off-peak non half hourly units (MWh)</t>
  </si>
  <si>
    <t>2416. Off-peak non half hourly units (MWh)</t>
  </si>
  <si>
    <t>2415. Aggregated half hourly pseudo timeband load coefficients</t>
  </si>
  <si>
    <t>x3 = 2413. Peaking probabilities by network level (reshaped)</t>
  </si>
  <si>
    <t>x2 = 2411. Load coefficient correction factor (kW at peak in band / band average kW) (in Calculation of adjusted time band load coefficients)</t>
  </si>
  <si>
    <t>2414. Pseudo load coefficient by time band and network level</t>
  </si>
  <si>
    <t>2413. Peaking probabilities by network level (reshaped)</t>
  </si>
  <si>
    <t>2412. Normalisation of peaking probabilities</t>
  </si>
  <si>
    <t>=IF(x4&lt;&gt;0,x5/x4,IF(x5&lt;0,-1,1))</t>
  </si>
  <si>
    <t>= x1 or x2 or x3</t>
  </si>
  <si>
    <t>x5 = 2302. Load coefficient</t>
  </si>
  <si>
    <t>x4 = Peak band load coefficient (in Calculation of adjusted time band load coefficients)</t>
  </si>
  <si>
    <t>x3 = 2410. Peak band load coefficient for three-rate tariffs (in Calculation of implied load coefficients for three-rate users)</t>
  </si>
  <si>
    <t>x2 = 2409. Peak band load coefficient for two-rate tariffs (in Calculation of implied load coefficients for two-rate users)</t>
  </si>
  <si>
    <t>x1 = 2408. Peak band load coefficient for one-rate tariffs (in Calculation of implied load coefficients for one-rate users)</t>
  </si>
  <si>
    <t>2411. Calculation of adjusted time band load coefficients</t>
  </si>
  <si>
    <t>2410. Calculation of implied load coefficients for three-rate users</t>
  </si>
  <si>
    <t>2409. Calculation of implied load coefficients for two-rate users</t>
  </si>
  <si>
    <t>Peak band load coefficient for one-rate tariffs</t>
  </si>
  <si>
    <t>Use of distribution time bands by units in demand forecast for one-rate tariffs</t>
  </si>
  <si>
    <t>x5 = Use of distribution time bands by units in demand forecast for one-rate tariffs (in Calculation of implied load coefficients for one-rate users)</t>
  </si>
  <si>
    <t>2408. Calculation of implied load coefficients for one-rate users</t>
  </si>
  <si>
    <t>Aggregated demand</t>
  </si>
  <si>
    <t>Site-specific demand</t>
  </si>
  <si>
    <t>Generation</t>
  </si>
  <si>
    <t>Not used</t>
  </si>
  <si>
    <t>Note: These tariffs are based on the assumptions set out in the CDCM forecast Data and CDCM Volume Forecast sheets.
If the assumptions in these sheets have been changed, the typical bills can be updated by pressing the button on the Tariffs ARP sheet.</t>
  </si>
  <si>
    <t>CDCM Annual Review Pack (incorporating DCP 179)</t>
  </si>
  <si>
    <t>2018/19</t>
  </si>
  <si>
    <t>2019/20</t>
  </si>
  <si>
    <t>17:00 - 19:30</t>
  </si>
  <si>
    <t>No Change</t>
  </si>
  <si>
    <t>07:30 - 17:00</t>
  </si>
  <si>
    <t>12:00 - 13:00</t>
  </si>
  <si>
    <t>19:30 - 22:00</t>
  </si>
  <si>
    <t>16:00 - 21:00</t>
  </si>
  <si>
    <t>00.00 - 07.30</t>
  </si>
  <si>
    <t>00:00 - 12:00</t>
  </si>
  <si>
    <t>22:00 - 24:00</t>
  </si>
  <si>
    <t>13:00 - 16:00</t>
  </si>
  <si>
    <t>21:00 - 24:00</t>
  </si>
  <si>
    <t xml:space="preserve">WD 
(incl. bank holidays) Nov to Feb
 (excluding 22nd Dec to 4th Jan inclusive)
</t>
  </si>
  <si>
    <t>WD 
(incl. bank holidays) Mar to Oct (plus 22nd Dec to 4th Jan inclusive)</t>
  </si>
  <si>
    <t>07:30 - 22:00</t>
  </si>
  <si>
    <t>WPD South Wales</t>
  </si>
  <si>
    <t>DCP179</t>
  </si>
  <si>
    <t>100, 105, 800, 860</t>
  </si>
  <si>
    <t xml:space="preserve">101, 106, 801, 861,  </t>
  </si>
  <si>
    <t>194, 843</t>
  </si>
  <si>
    <t>200, 810, 862</t>
  </si>
  <si>
    <t>201, 811, 863</t>
  </si>
  <si>
    <t>294</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</si>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</sst>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8" formatCode="&quot;£&quot;#,##0.00;[Red]\-&quot;£&quot;#,##0.00"/>
    <numFmt numFmtId="43" formatCode="_-* #,##0.00_-;\-* #,##0.00_-;_-* &quot;-&quot;??_-;_-@_-"/>
    <numFmt numFmtId="164" formatCode="\ _(???,???,??0.000_);[Red]\ \(???,???,??0.000\);;@"/>
    <numFmt numFmtId="165" formatCode="0.000;\-0.000;;@"/>
    <numFmt numFmtId="166" formatCode="\ _(???,???,??0_);[Red]\ \(???,???,??0\);;@"/>
    <numFmt numFmtId="167" formatCode="\ _(??0.0%_);[Red]\ \(??0.0%\);;@"/>
    <numFmt numFmtId="168" formatCode="\ _(???,???,??0.0_);[Red]\ \(???,???,??0.0\);;@"/>
    <numFmt numFmtId="169" formatCode="\ _(???,???,??0.00000_);[Red]\ \(???,???,??0.00000\);;@"/>
    <numFmt numFmtId="170" formatCode="\ _(???,???,??0.00_);[Red]\ \(???,???,??0.00\);;@"/>
    <numFmt numFmtId="171" formatCode="[$-F800]dddd\,\ mmmm\ dd\,\ yyyy"/>
    <numFmt numFmtId="172" formatCode="0.0%"/>
    <numFmt numFmtId="173" formatCode="#,##0.0;[Red]\(#,##0.0\)"/>
    <numFmt numFmtId="174" formatCode="#,##0.0_ ;[Red]\-#,##0.0\ "/>
    <numFmt numFmtId="175" formatCode="0.0"/>
    <numFmt numFmtId="176" formatCode="#,##0.000;[Red]\(#,##0.000\)"/>
    <numFmt numFmtId="177" formatCode="#,##0.000_ ;[Red]\-#,##0.000\ "/>
    <numFmt numFmtId="178" formatCode="#,##0.00_ ;[Red]\-#,##0.00\ "/>
    <numFmt numFmtId="179" formatCode="_-* #,##0.000_-;\-* #,##0.000_-;_-* &quot;-&quot;??_-;_-@_-"/>
    <numFmt numFmtId="180" formatCode="_-* #,##0_-;\-* #,##0_-;_-* &quot;-&quot;??_-;_-@_-"/>
    <numFmt numFmtId="181" formatCode="_(??0.0%_);[Red]\(??0.0%\);_(???.?_%_)"/>
    <numFmt numFmtId="182" formatCode="0.000;\-0.000;"/>
    <numFmt numFmtId="183" formatCode="_(??0.0%_);[Red]\(??0.0%\);"/>
    <numFmt numFmtId="184" formatCode="#,##0_ ;[Red]\-#,##0\ "/>
    <numFmt numFmtId="185" formatCode="_(?,???,???,??0_);[Red]\(?,???,???,??0\);_(?,???,???,???_)"/>
    <numFmt numFmtId="186" formatCode="_(?,???,??0.000_);[Red]\(?,???,??0.000\);_(?,???,???.???_)"/>
    <numFmt numFmtId="187" formatCode="_(?,???,??0_);[Red]\(?,???,??0\);_(?,???,???_)"/>
  </numFmts>
  <fonts count="54">
    <font>
      <sz val="11"/>
      <color theme="1"/>
      <name val="Calibri"/>
      <family val="2"/>
      <scheme val="minor"/>
    </font>
    <font>
      <b/>
      <sz val="15"/>
      <color theme="1"/>
      <name val="Calibri"/>
      <family val="2"/>
      <scheme val="minor"/>
    </font>
    <font>
      <b/>
      <sz val="11"/>
      <color theme="1"/>
      <name val="Calibri"/>
      <family val="2"/>
      <scheme val="minor"/>
    </font>
    <font>
      <sz val="11"/>
      <color rgb="FF800080"/>
      <name val="Calibri"/>
      <family val="2"/>
      <scheme val="minor"/>
    </font>
    <font>
      <u/>
      <sz val="11"/>
      <color rgb="FF0066CC"/>
      <name val="Calibri"/>
      <family val="2"/>
      <scheme val="minor"/>
    </font>
    <font>
      <i/>
      <sz val="11"/>
      <color theme="1"/>
      <name val="Calibri"/>
      <family val="2"/>
      <scheme val="minor"/>
    </font>
    <font>
      <sz val="11"/>
      <color theme="1"/>
      <name val="Calibri"/>
      <family val="2"/>
      <scheme val="minor"/>
    </font>
    <font>
      <sz val="10"/>
      <name val="Arial"/>
      <family val="2"/>
    </font>
    <font>
      <b/>
      <sz val="10"/>
      <name val="Arial"/>
      <family val="2"/>
    </font>
    <font>
      <b/>
      <u/>
      <sz val="18"/>
      <name val="Arial"/>
      <family val="2"/>
    </font>
    <font>
      <sz val="10"/>
      <color theme="1"/>
      <name val="Arial"/>
      <family val="2"/>
    </font>
    <font>
      <u/>
      <sz val="10"/>
      <color indexed="12"/>
      <name val="Arial"/>
      <family val="2"/>
    </font>
    <font>
      <sz val="11"/>
      <name val="CG Omega"/>
      <family val="2"/>
    </font>
    <font>
      <sz val="10"/>
      <name val="Verdana"/>
      <family val="2"/>
    </font>
    <font>
      <b/>
      <u/>
      <sz val="16"/>
      <color indexed="60"/>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b/>
      <sz val="12"/>
      <color theme="1"/>
      <name val="Times New Roman"/>
      <family val="1"/>
    </font>
    <font>
      <i/>
      <sz val="12"/>
      <name val="Times New Roman"/>
      <family val="1"/>
    </font>
    <font>
      <b/>
      <u/>
      <sz val="12"/>
      <name val="Times New Roman"/>
      <family val="1"/>
    </font>
    <font>
      <sz val="10"/>
      <name val="Tw Cen MT"/>
      <family val="2"/>
    </font>
    <font>
      <sz val="9"/>
      <name val="Tw Cen MT"/>
      <family val="2"/>
    </font>
    <font>
      <b/>
      <sz val="10"/>
      <name val="Tw Cen MT"/>
      <family val="2"/>
    </font>
    <font>
      <sz val="9"/>
      <name val="Arial"/>
      <family val="2"/>
    </font>
    <font>
      <b/>
      <sz val="14"/>
      <color indexed="12"/>
      <name val="Tw Cen MT"/>
      <family val="2"/>
    </font>
    <font>
      <b/>
      <sz val="14"/>
      <name val="Tw Cen MT"/>
      <family val="2"/>
    </font>
    <font>
      <b/>
      <sz val="10"/>
      <color indexed="9"/>
      <name val="Tw Cen MT"/>
      <family val="2"/>
    </font>
    <font>
      <b/>
      <sz val="12"/>
      <name val="Arial"/>
      <family val="2"/>
    </font>
    <font>
      <sz val="12"/>
      <name val="Arial"/>
      <family val="2"/>
    </font>
    <font>
      <b/>
      <sz val="8"/>
      <color indexed="81"/>
      <name val="Tahoma"/>
      <family val="2"/>
    </font>
    <font>
      <sz val="8"/>
      <color indexed="81"/>
      <name val="Tahoma"/>
      <family val="2"/>
    </font>
    <font>
      <sz val="10"/>
      <name val="Calibri"/>
      <family val="2"/>
      <scheme val="minor"/>
    </font>
    <font>
      <b/>
      <sz val="10"/>
      <name val="Calibri"/>
      <family val="2"/>
      <scheme val="minor"/>
    </font>
    <font>
      <b/>
      <sz val="12"/>
      <color indexed="12"/>
      <name val="Arial"/>
      <family val="2"/>
    </font>
    <font>
      <b/>
      <sz val="11"/>
      <name val="Calibri"/>
      <family val="2"/>
      <scheme val="minor"/>
    </font>
    <font>
      <b/>
      <sz val="12"/>
      <name val="Calibri"/>
      <family val="2"/>
      <scheme val="minor"/>
    </font>
    <font>
      <b/>
      <sz val="14"/>
      <color theme="1"/>
      <name val="Calibri"/>
      <family val="2"/>
      <scheme val="minor"/>
    </font>
    <font>
      <sz val="11"/>
      <color indexed="20"/>
      <name val="Arial"/>
      <family val="2"/>
    </font>
    <font>
      <b/>
      <sz val="10"/>
      <color indexed="12"/>
      <name val="Arial"/>
      <family val="2"/>
    </font>
    <font>
      <b/>
      <sz val="14"/>
      <name val="Arial"/>
      <family val="2"/>
    </font>
    <font>
      <b/>
      <u/>
      <sz val="10"/>
      <name val="Arial"/>
      <family val="2"/>
    </font>
    <font>
      <sz val="10"/>
      <color indexed="20"/>
      <name val="Arial"/>
      <family val="2"/>
    </font>
    <font>
      <b/>
      <sz val="13"/>
      <name val="Arial"/>
      <family val="2"/>
    </font>
    <font>
      <u/>
      <sz val="11"/>
      <color theme="11"/>
      <name val="Calibri"/>
      <family val="2"/>
      <scheme val="minor"/>
    </font>
    <font>
      <b/>
      <sz val="10"/>
      <color indexed="53"/>
      <name val="Arial"/>
      <family val="2"/>
    </font>
    <font>
      <u/>
      <sz val="10"/>
      <name val="Arial"/>
      <family val="2"/>
    </font>
    <font>
      <b/>
      <sz val="10"/>
      <color theme="1"/>
      <name val="Calibri"/>
      <family val="2"/>
      <scheme val="minor"/>
    </font>
    <font>
      <u/>
      <sz val="15"/>
      <name val="Arial"/>
      <family val="2"/>
    </font>
    <font>
      <b/>
      <sz val="10"/>
      <color rgb="FFFFFF00"/>
      <name val="Arial"/>
      <family val="2"/>
    </font>
    <font>
      <b/>
      <sz val="12"/>
      <color rgb="FFFFFF00"/>
      <name val="Arial"/>
      <family val="2"/>
    </font>
    <font>
      <sz val="8"/>
      <name val="Calibri"/>
      <family val="2"/>
      <scheme val="minor"/>
    </font>
    <font>
      <u/>
      <sz val="11"/>
      <color theme="10"/>
      <name val="Calibri"/>
      <family val="2"/>
      <scheme val="minor"/>
    </font>
  </fonts>
  <fills count="26">
    <fill>
      <patternFill patternType="none"/>
    </fill>
    <fill>
      <patternFill patternType="gray125"/>
    </fill>
    <fill>
      <patternFill patternType="solid">
        <fgColor rgb="FFFFCC99"/>
        <bgColor indexed="64"/>
      </patternFill>
    </fill>
    <fill>
      <patternFill patternType="solid">
        <fgColor rgb="FFCCFFFF"/>
        <bgColor indexed="64"/>
      </patternFill>
    </fill>
    <fill>
      <patternFill patternType="solid">
        <fgColor rgb="FFE9E9E9"/>
        <bgColor indexed="64"/>
      </patternFill>
    </fill>
    <fill>
      <patternFill patternType="solid">
        <fgColor rgb="FFFFFFCC"/>
        <bgColor indexed="64"/>
      </patternFill>
    </fill>
    <fill>
      <patternFill patternType="solid">
        <fgColor rgb="FFCCFFCC"/>
        <bgColor indexed="64"/>
      </patternFill>
    </fill>
    <fill>
      <patternFill patternType="lightGrid">
        <fgColor rgb="FFE9E9E9"/>
        <bgColor rgb="FFFFFFFF"/>
      </patternFill>
    </fill>
    <fill>
      <patternFill patternType="lightUp">
        <fgColor rgb="FFE9E9E9"/>
        <bgColor rgb="FFFFFFFF"/>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lightGrid">
        <fgColor indexed="22"/>
      </patternFill>
    </fill>
    <fill>
      <patternFill patternType="solid">
        <fgColor rgb="FFFFFFFF"/>
        <bgColor indexed="64"/>
      </patternFill>
    </fill>
    <fill>
      <patternFill patternType="solid">
        <fgColor indexed="60"/>
        <bgColor indexed="64"/>
      </patternFill>
    </fill>
    <fill>
      <patternFill patternType="solid">
        <fgColor indexed="19"/>
        <bgColor indexed="64"/>
      </patternFill>
    </fill>
    <fill>
      <patternFill patternType="solid">
        <fgColor indexed="26"/>
        <bgColor indexed="64"/>
      </patternFill>
    </fill>
    <fill>
      <patternFill patternType="solid">
        <fgColor theme="9" tint="0.39997558519241921"/>
        <bgColor indexed="64"/>
      </patternFill>
    </fill>
    <fill>
      <patternFill patternType="solid">
        <fgColor theme="1" tint="0.14999847407452621"/>
        <bgColor indexed="64"/>
      </patternFill>
    </fill>
    <fill>
      <patternFill patternType="solid">
        <fgColor indexed="9"/>
        <bgColor indexed="64"/>
      </patternFill>
    </fill>
    <fill>
      <patternFill patternType="solid">
        <fgColor rgb="FF4579C9"/>
        <bgColor indexed="64"/>
      </patternFill>
    </fill>
    <fill>
      <patternFill patternType="solid">
        <fgColor rgb="FFC5FFFF"/>
        <bgColor indexed="64"/>
      </patternFill>
    </fill>
    <fill>
      <patternFill patternType="solid">
        <fgColor theme="1"/>
        <bgColor indexed="64"/>
      </patternFill>
    </fill>
    <fill>
      <patternFill patternType="solid">
        <fgColor rgb="FF000000"/>
        <bgColor rgb="FF000000"/>
      </patternFill>
    </fill>
  </fills>
  <borders count="49">
    <border>
      <left/>
      <right/>
      <top/>
      <bottom/>
      <diagonal/>
    </border>
    <border>
      <left/>
      <right/>
      <top style="dashed">
        <color rgb="FF800080"/>
      </top>
      <bottom style="dashed">
        <color rgb="FF80008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medium">
        <color auto="1"/>
      </top>
      <bottom style="thin">
        <color auto="1"/>
      </bottom>
      <diagonal/>
    </border>
    <border>
      <left style="dashed">
        <color indexed="20"/>
      </left>
      <right/>
      <top style="dashed">
        <color indexed="20"/>
      </top>
      <bottom style="dashed">
        <color indexed="20"/>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top style="dashed">
        <color indexed="20"/>
      </top>
      <bottom style="dashed">
        <color indexed="20"/>
      </bottom>
      <diagonal/>
    </border>
  </borders>
  <cellStyleXfs count="288">
    <xf numFmtId="0" fontId="0" fillId="0" borderId="0"/>
    <xf numFmtId="0" fontId="7"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xf numFmtId="0" fontId="6" fillId="0" borderId="0"/>
    <xf numFmtId="0" fontId="12" fillId="0" borderId="0">
      <alignment vertical="top"/>
    </xf>
    <xf numFmtId="0" fontId="10" fillId="0" borderId="0"/>
    <xf numFmtId="0" fontId="10" fillId="0" borderId="0"/>
    <xf numFmtId="0" fontId="13" fillId="0" borderId="0"/>
    <xf numFmtId="9" fontId="7"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cellStyleXfs>
  <cellXfs count="366">
    <xf numFmtId="0" fontId="0" fillId="0" borderId="0" xfId="0"/>
    <xf numFmtId="49" fontId="1" fillId="0" borderId="0" xfId="0" applyNumberFormat="1" applyFont="1" applyAlignment="1">
      <alignment horizontal="left"/>
    </xf>
    <xf numFmtId="49" fontId="0" fillId="0" borderId="0" xfId="0" applyNumberFormat="1" applyAlignment="1">
      <alignment horizontal="left" vertical="center"/>
    </xf>
    <xf numFmtId="49" fontId="2" fillId="2" borderId="0" xfId="0" applyNumberFormat="1" applyFont="1" applyFill="1" applyAlignment="1">
      <alignment horizontal="center" vertical="center" wrapText="1"/>
    </xf>
    <xf numFmtId="164" fontId="0" fillId="3" borderId="0" xfId="0" applyNumberFormat="1" applyFill="1" applyAlignment="1" applyProtection="1">
      <alignment horizontal="center" vertical="center"/>
      <protection locked="0"/>
    </xf>
    <xf numFmtId="164" fontId="0" fillId="4" borderId="0" xfId="0" applyNumberFormat="1" applyFill="1" applyAlignment="1">
      <alignment horizontal="center" vertical="center"/>
    </xf>
    <xf numFmtId="164" fontId="0" fillId="5" borderId="0" xfId="0" applyNumberFormat="1" applyFill="1" applyAlignment="1">
      <alignment horizontal="center" vertical="center"/>
    </xf>
    <xf numFmtId="164" fontId="0" fillId="6" borderId="0" xfId="0" applyNumberFormat="1" applyFill="1" applyAlignment="1">
      <alignment horizontal="center" vertical="center"/>
    </xf>
    <xf numFmtId="165" fontId="0" fillId="7" borderId="0" xfId="0" applyNumberFormat="1" applyFill="1" applyAlignment="1" applyProtection="1">
      <alignment horizontal="center" vertical="center"/>
      <protection locked="0"/>
    </xf>
    <xf numFmtId="165" fontId="0" fillId="8" borderId="0" xfId="0" applyNumberFormat="1" applyFill="1" applyAlignment="1">
      <alignment horizontal="center" vertical="center"/>
    </xf>
    <xf numFmtId="0" fontId="3" fillId="0" borderId="1" xfId="0" applyFont="1" applyBorder="1" applyAlignment="1" applyProtection="1">
      <alignment vertical="center"/>
      <protection locked="0"/>
    </xf>
    <xf numFmtId="49" fontId="2" fillId="2" borderId="0" xfId="0" applyNumberFormat="1" applyFont="1" applyFill="1" applyAlignment="1">
      <alignment horizontal="left" vertical="center" wrapText="1"/>
    </xf>
    <xf numFmtId="49" fontId="4" fillId="0" borderId="0" xfId="0" applyNumberFormat="1" applyFont="1" applyAlignment="1">
      <alignment horizontal="left" vertical="center"/>
    </xf>
    <xf numFmtId="49" fontId="0" fillId="3" borderId="0" xfId="0" applyNumberFormat="1" applyFill="1" applyAlignment="1" applyProtection="1">
      <alignment horizontal="left" vertical="center" wrapText="1"/>
      <protection locked="0"/>
    </xf>
    <xf numFmtId="166" fontId="0" fillId="3" borderId="0" xfId="0" applyNumberFormat="1" applyFill="1" applyAlignment="1" applyProtection="1">
      <alignment horizontal="center" vertical="center"/>
      <protection locked="0"/>
    </xf>
    <xf numFmtId="166" fontId="0" fillId="5" borderId="0" xfId="0" applyNumberFormat="1" applyFill="1" applyAlignment="1">
      <alignment horizontal="center" vertical="center"/>
    </xf>
    <xf numFmtId="167" fontId="0" fillId="3" borderId="0" xfId="0" applyNumberFormat="1" applyFill="1" applyAlignment="1" applyProtection="1">
      <alignment horizontal="center" vertical="center"/>
      <protection locked="0"/>
    </xf>
    <xf numFmtId="49" fontId="5" fillId="2" borderId="0" xfId="0" applyNumberFormat="1" applyFont="1" applyFill="1" applyAlignment="1">
      <alignment horizontal="left" vertical="center" wrapText="1"/>
    </xf>
    <xf numFmtId="0" fontId="0" fillId="0" borderId="0" xfId="0" applyAlignment="1" applyProtection="1">
      <alignment vertical="center"/>
      <protection locked="0"/>
    </xf>
    <xf numFmtId="168" fontId="0" fillId="3" borderId="0" xfId="0" applyNumberFormat="1" applyFill="1" applyAlignment="1" applyProtection="1">
      <alignment horizontal="center" vertical="center"/>
      <protection locked="0"/>
    </xf>
    <xf numFmtId="49" fontId="5" fillId="2" borderId="2" xfId="0" applyNumberFormat="1" applyFont="1" applyFill="1" applyBorder="1" applyAlignment="1">
      <alignment horizontal="centerContinuous" vertical="center" wrapText="1"/>
    </xf>
    <xf numFmtId="49" fontId="0" fillId="0" borderId="2" xfId="0" applyNumberFormat="1" applyBorder="1" applyAlignment="1">
      <alignment horizontal="centerContinuous" vertical="center" wrapText="1"/>
    </xf>
    <xf numFmtId="49" fontId="5" fillId="2" borderId="0" xfId="0" applyNumberFormat="1" applyFont="1" applyFill="1" applyAlignment="1">
      <alignment horizontal="left" vertical="center"/>
    </xf>
    <xf numFmtId="166" fontId="0" fillId="4" borderId="0" xfId="0" applyNumberFormat="1" applyFill="1" applyAlignment="1">
      <alignment horizontal="center" vertical="center"/>
    </xf>
    <xf numFmtId="167" fontId="0" fillId="5" borderId="0" xfId="0" applyNumberFormat="1" applyFill="1" applyAlignment="1">
      <alignment horizontal="center" vertical="center"/>
    </xf>
    <xf numFmtId="167" fontId="0" fillId="4" borderId="0" xfId="0" applyNumberFormat="1" applyFill="1" applyAlignment="1">
      <alignment horizontal="center" vertical="center"/>
    </xf>
    <xf numFmtId="167" fontId="0" fillId="6" borderId="0" xfId="0" applyNumberFormat="1" applyFill="1" applyAlignment="1">
      <alignment horizontal="center" vertical="center"/>
    </xf>
    <xf numFmtId="168" fontId="0" fillId="5" borderId="0" xfId="0" applyNumberFormat="1" applyFill="1" applyAlignment="1">
      <alignment horizontal="center" vertical="center"/>
    </xf>
    <xf numFmtId="166" fontId="0" fillId="6" borderId="0" xfId="0" applyNumberFormat="1" applyFill="1" applyAlignment="1">
      <alignment horizontal="center" vertical="center"/>
    </xf>
    <xf numFmtId="169" fontId="0" fillId="5" borderId="0" xfId="0" applyNumberFormat="1" applyFill="1" applyAlignment="1">
      <alignment horizontal="center" vertical="center"/>
    </xf>
    <xf numFmtId="170" fontId="0" fillId="5" borderId="0" xfId="0" applyNumberFormat="1" applyFill="1" applyAlignment="1">
      <alignment horizontal="center" vertical="center"/>
    </xf>
    <xf numFmtId="49" fontId="0" fillId="4" borderId="0" xfId="0" applyNumberFormat="1" applyFill="1" applyAlignment="1">
      <alignment horizontal="left" vertical="center" wrapText="1"/>
    </xf>
    <xf numFmtId="170" fontId="0" fillId="6" borderId="0" xfId="0" applyNumberFormat="1" applyFill="1" applyAlignment="1">
      <alignment horizontal="center" vertical="center"/>
    </xf>
    <xf numFmtId="0" fontId="7" fillId="0" borderId="0" xfId="1" applyAlignment="1">
      <alignment vertical="center"/>
    </xf>
    <xf numFmtId="0" fontId="7" fillId="0" borderId="0" xfId="1" applyAlignment="1">
      <alignment horizontal="right" vertical="center"/>
    </xf>
    <xf numFmtId="0" fontId="0" fillId="0" borderId="3" xfId="1" applyFont="1" applyBorder="1" applyAlignment="1">
      <alignment vertical="center"/>
    </xf>
    <xf numFmtId="0" fontId="7" fillId="0" borderId="3" xfId="1" applyBorder="1" applyAlignment="1">
      <alignment vertical="center"/>
    </xf>
    <xf numFmtId="0" fontId="7" fillId="0" borderId="3" xfId="1" applyFill="1" applyBorder="1" applyAlignment="1">
      <alignment vertical="center"/>
    </xf>
    <xf numFmtId="0" fontId="8" fillId="0" borderId="3" xfId="1" applyFont="1" applyBorder="1" applyAlignment="1">
      <alignment vertical="center"/>
    </xf>
    <xf numFmtId="0" fontId="8" fillId="0" borderId="0" xfId="1" applyFont="1" applyAlignment="1">
      <alignment vertical="center"/>
    </xf>
    <xf numFmtId="171" fontId="7" fillId="0" borderId="0" xfId="1" applyNumberFormat="1" applyAlignment="1">
      <alignment horizontal="left" vertical="center"/>
    </xf>
    <xf numFmtId="0" fontId="7" fillId="0" borderId="0" xfId="1" applyAlignment="1">
      <alignment horizontal="left" vertical="center"/>
    </xf>
    <xf numFmtId="0" fontId="9" fillId="0" borderId="0" xfId="1" applyFont="1" applyAlignment="1">
      <alignment vertical="center"/>
    </xf>
    <xf numFmtId="0" fontId="7" fillId="0" borderId="0" xfId="1"/>
    <xf numFmtId="0" fontId="8" fillId="0" borderId="0" xfId="1" applyFont="1"/>
    <xf numFmtId="0" fontId="7" fillId="0" borderId="0" xfId="1" applyFont="1"/>
    <xf numFmtId="0" fontId="7" fillId="0" borderId="0" xfId="1" applyFill="1" applyBorder="1" applyAlignment="1">
      <alignment wrapText="1"/>
    </xf>
    <xf numFmtId="0" fontId="14" fillId="0" borderId="0" xfId="1" applyFont="1" applyFill="1"/>
    <xf numFmtId="0" fontId="7" fillId="0" borderId="0" xfId="7" applyFont="1" applyBorder="1"/>
    <xf numFmtId="0" fontId="15" fillId="0" borderId="3" xfId="7" applyFont="1" applyBorder="1" applyAlignment="1">
      <alignment horizontal="left" vertical="center" wrapText="1"/>
    </xf>
    <xf numFmtId="172" fontId="16" fillId="0" borderId="3" xfId="14" applyNumberFormat="1" applyFont="1" applyBorder="1" applyAlignment="1">
      <alignment horizontal="center" vertical="center" wrapText="1"/>
    </xf>
    <xf numFmtId="0" fontId="17" fillId="0" borderId="3" xfId="7" applyFont="1" applyBorder="1" applyAlignment="1">
      <alignment horizontal="center" vertical="center" wrapText="1"/>
    </xf>
    <xf numFmtId="0" fontId="17" fillId="0" borderId="3" xfId="7" applyFont="1" applyFill="1" applyBorder="1" applyAlignment="1">
      <alignment vertical="center" wrapText="1"/>
    </xf>
    <xf numFmtId="173" fontId="17" fillId="0" borderId="3" xfId="7" applyNumberFormat="1" applyFont="1" applyBorder="1" applyAlignment="1">
      <alignment horizontal="left" vertical="center" wrapText="1"/>
    </xf>
    <xf numFmtId="172" fontId="18" fillId="0" borderId="3" xfId="14" applyNumberFormat="1" applyFont="1" applyBorder="1" applyAlignment="1">
      <alignment horizontal="center" vertical="center" wrapText="1"/>
    </xf>
    <xf numFmtId="174" fontId="18" fillId="0" borderId="3" xfId="7" applyNumberFormat="1" applyFont="1" applyBorder="1" applyAlignment="1">
      <alignment horizontal="center" vertical="center" wrapText="1"/>
    </xf>
    <xf numFmtId="173" fontId="19" fillId="10" borderId="3" xfId="7" applyNumberFormat="1" applyFont="1" applyFill="1" applyBorder="1" applyAlignment="1">
      <alignment horizontal="left" vertical="center" wrapText="1"/>
    </xf>
    <xf numFmtId="174" fontId="19" fillId="10" borderId="3" xfId="7" applyNumberFormat="1" applyFont="1" applyFill="1" applyBorder="1" applyAlignment="1">
      <alignment horizontal="center" vertical="center" wrapText="1"/>
    </xf>
    <xf numFmtId="0" fontId="18" fillId="10" borderId="3" xfId="7" applyFont="1" applyFill="1" applyBorder="1" applyAlignment="1">
      <alignment vertical="center" wrapText="1"/>
    </xf>
    <xf numFmtId="0" fontId="19" fillId="10" borderId="3" xfId="7" applyFont="1" applyFill="1" applyBorder="1" applyAlignment="1">
      <alignment vertical="center" wrapText="1"/>
    </xf>
    <xf numFmtId="173" fontId="18" fillId="10" borderId="3" xfId="7" applyNumberFormat="1" applyFont="1" applyFill="1" applyBorder="1" applyAlignment="1">
      <alignment horizontal="left" vertical="center" wrapText="1"/>
    </xf>
    <xf numFmtId="174" fontId="18" fillId="10" borderId="3" xfId="7" applyNumberFormat="1" applyFont="1" applyFill="1" applyBorder="1" applyAlignment="1">
      <alignment horizontal="center" vertical="center" wrapText="1"/>
    </xf>
    <xf numFmtId="0" fontId="18" fillId="10" borderId="3" xfId="7" applyFont="1" applyFill="1" applyBorder="1" applyAlignment="1">
      <alignment horizontal="center" vertical="center" wrapText="1"/>
    </xf>
    <xf numFmtId="0" fontId="20" fillId="0" borderId="3" xfId="7" applyFont="1" applyFill="1" applyBorder="1" applyAlignment="1">
      <alignment vertical="center" wrapText="1"/>
    </xf>
    <xf numFmtId="0" fontId="17" fillId="0" borderId="3" xfId="7" applyFont="1" applyBorder="1" applyAlignment="1">
      <alignment vertical="center" wrapText="1"/>
    </xf>
    <xf numFmtId="0" fontId="17" fillId="10" borderId="3" xfId="7" applyFont="1" applyFill="1" applyBorder="1" applyAlignment="1">
      <alignment vertical="center" wrapText="1"/>
    </xf>
    <xf numFmtId="0" fontId="18" fillId="10" borderId="15" xfId="7" applyFont="1" applyFill="1" applyBorder="1" applyAlignment="1">
      <alignment vertical="center" wrapText="1"/>
    </xf>
    <xf numFmtId="0" fontId="20" fillId="9" borderId="3" xfId="7" applyFont="1" applyFill="1" applyBorder="1" applyAlignment="1">
      <alignment vertical="center" wrapText="1"/>
    </xf>
    <xf numFmtId="0" fontId="17" fillId="9" borderId="3" xfId="7" applyFont="1" applyFill="1" applyBorder="1" applyAlignment="1">
      <alignment vertical="center" wrapText="1"/>
    </xf>
    <xf numFmtId="0" fontId="17" fillId="0" borderId="3" xfId="7" applyFont="1" applyFill="1" applyBorder="1" applyAlignment="1">
      <alignment horizontal="center" vertical="center" wrapText="1"/>
    </xf>
    <xf numFmtId="0" fontId="18" fillId="10" borderId="4" xfId="7" applyFont="1" applyFill="1" applyBorder="1" applyAlignment="1">
      <alignment vertical="center" wrapText="1"/>
    </xf>
    <xf numFmtId="0" fontId="19" fillId="10" borderId="6" xfId="7" applyFont="1" applyFill="1" applyBorder="1" applyAlignment="1">
      <alignment vertical="center" wrapText="1"/>
    </xf>
    <xf numFmtId="175" fontId="15" fillId="10" borderId="3" xfId="7" applyNumberFormat="1" applyFont="1" applyFill="1" applyBorder="1" applyAlignment="1">
      <alignment horizontal="left" vertical="center" wrapText="1"/>
    </xf>
    <xf numFmtId="174" fontId="15" fillId="10" borderId="3" xfId="7" applyNumberFormat="1" applyFont="1" applyFill="1" applyBorder="1" applyAlignment="1">
      <alignment horizontal="center" vertical="center" wrapText="1"/>
    </xf>
    <xf numFmtId="0" fontId="18" fillId="10" borderId="6" xfId="7" applyFont="1" applyFill="1" applyBorder="1" applyAlignment="1">
      <alignment vertical="center" wrapText="1"/>
    </xf>
    <xf numFmtId="173" fontId="17" fillId="10" borderId="3" xfId="7" applyNumberFormat="1" applyFont="1" applyFill="1" applyBorder="1" applyAlignment="1">
      <alignment horizontal="left" vertical="center" wrapText="1"/>
    </xf>
    <xf numFmtId="174" fontId="16" fillId="10" borderId="3" xfId="7" applyNumberFormat="1" applyFont="1" applyFill="1" applyBorder="1" applyAlignment="1">
      <alignment horizontal="center" vertical="center" wrapText="1"/>
    </xf>
    <xf numFmtId="0" fontId="18" fillId="10" borderId="3" xfId="7" quotePrefix="1" applyFont="1" applyFill="1" applyBorder="1" applyAlignment="1">
      <alignment horizontal="center" vertical="center" wrapText="1"/>
    </xf>
    <xf numFmtId="0" fontId="15" fillId="9" borderId="3" xfId="7" applyFont="1" applyFill="1" applyBorder="1" applyAlignment="1">
      <alignment horizontal="left" vertical="center" wrapText="1"/>
    </xf>
    <xf numFmtId="0" fontId="17" fillId="0" borderId="3" xfId="11" applyFont="1" applyBorder="1" applyAlignment="1">
      <alignment horizontal="center" vertical="center" wrapText="1"/>
    </xf>
    <xf numFmtId="0" fontId="15" fillId="0" borderId="3" xfId="7" applyFont="1" applyFill="1" applyBorder="1" applyAlignment="1">
      <alignment horizontal="left" vertical="center" wrapText="1"/>
    </xf>
    <xf numFmtId="0" fontId="17" fillId="0" borderId="3" xfId="7" quotePrefix="1" applyFont="1" applyBorder="1" applyAlignment="1">
      <alignment horizontal="center" vertical="center" wrapText="1"/>
    </xf>
    <xf numFmtId="0" fontId="17" fillId="9" borderId="3" xfId="7" applyFont="1" applyFill="1" applyBorder="1" applyAlignment="1">
      <alignment horizontal="center" vertical="center" wrapText="1"/>
    </xf>
    <xf numFmtId="0" fontId="18" fillId="10" borderId="16" xfId="7" applyFont="1" applyFill="1" applyBorder="1" applyAlignment="1">
      <alignment vertical="center" wrapText="1"/>
    </xf>
    <xf numFmtId="176" fontId="17" fillId="0" borderId="3" xfId="7" applyNumberFormat="1" applyFont="1" applyBorder="1" applyAlignment="1">
      <alignment horizontal="left" vertical="center" wrapText="1"/>
    </xf>
    <xf numFmtId="173" fontId="18" fillId="0" borderId="6" xfId="7" applyNumberFormat="1"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6" xfId="7" applyFont="1" applyFill="1" applyBorder="1" applyAlignment="1">
      <alignment horizontal="center" vertical="center" wrapText="1"/>
    </xf>
    <xf numFmtId="173" fontId="17" fillId="0" borderId="3" xfId="7" applyNumberFormat="1" applyFont="1" applyFill="1" applyBorder="1" applyAlignment="1">
      <alignment horizontal="center" vertical="center" wrapText="1"/>
    </xf>
    <xf numFmtId="173" fontId="18" fillId="0" borderId="6" xfId="7" quotePrefix="1" applyNumberFormat="1" applyFont="1" applyFill="1" applyBorder="1" applyAlignment="1">
      <alignment horizontal="center" vertical="center" wrapText="1"/>
    </xf>
    <xf numFmtId="0" fontId="17" fillId="0" borderId="0" xfId="7" applyFont="1" applyAlignment="1">
      <alignment vertical="center"/>
    </xf>
    <xf numFmtId="0" fontId="18" fillId="0" borderId="0" xfId="7" applyFont="1" applyAlignment="1">
      <alignment horizontal="center" vertical="center"/>
    </xf>
    <xf numFmtId="0" fontId="17" fillId="0" borderId="0" xfId="7" applyFont="1" applyAlignment="1">
      <alignment horizontal="center" vertical="center"/>
    </xf>
    <xf numFmtId="0" fontId="18" fillId="0" borderId="0" xfId="7" applyFont="1" applyAlignment="1">
      <alignment vertical="center"/>
    </xf>
    <xf numFmtId="0" fontId="21" fillId="0" borderId="0" xfId="7" applyFont="1" applyAlignment="1">
      <alignment vertical="center"/>
    </xf>
    <xf numFmtId="0" fontId="22" fillId="0" borderId="0" xfId="1" applyFont="1"/>
    <xf numFmtId="0" fontId="22" fillId="0" borderId="0" xfId="1" applyFont="1" applyAlignment="1">
      <alignment horizontal="center" vertical="center" wrapText="1"/>
    </xf>
    <xf numFmtId="0" fontId="22" fillId="0" borderId="0" xfId="1" applyFont="1" applyAlignment="1">
      <alignment horizontal="center"/>
    </xf>
    <xf numFmtId="178" fontId="23" fillId="11" borderId="3" xfId="1" applyNumberFormat="1" applyFont="1" applyFill="1" applyBorder="1" applyAlignment="1">
      <alignment horizontal="center" wrapText="1"/>
    </xf>
    <xf numFmtId="178" fontId="23" fillId="11" borderId="3" xfId="1" applyNumberFormat="1" applyFont="1" applyFill="1" applyBorder="1" applyAlignment="1">
      <alignment horizontal="center"/>
    </xf>
    <xf numFmtId="0" fontId="24" fillId="12" borderId="3" xfId="1" applyFont="1" applyFill="1" applyBorder="1"/>
    <xf numFmtId="178" fontId="23" fillId="13" borderId="3" xfId="1" applyNumberFormat="1" applyFont="1" applyFill="1" applyBorder="1" applyAlignment="1">
      <alignment horizontal="center" wrapText="1"/>
    </xf>
    <xf numFmtId="179" fontId="25" fillId="13" borderId="3" xfId="3" applyNumberFormat="1" applyFont="1" applyFill="1" applyBorder="1" applyAlignment="1" applyProtection="1">
      <alignment horizontal="center" vertical="center"/>
      <protection locked="0"/>
    </xf>
    <xf numFmtId="179" fontId="23" fillId="13" borderId="3" xfId="3" applyNumberFormat="1" applyFont="1" applyFill="1" applyBorder="1" applyAlignment="1">
      <alignment horizontal="center"/>
    </xf>
    <xf numFmtId="0" fontId="22" fillId="12" borderId="3" xfId="1" applyFont="1" applyFill="1" applyBorder="1" applyAlignment="1">
      <alignment horizontal="left" indent="2"/>
    </xf>
    <xf numFmtId="180" fontId="25" fillId="13" borderId="3" xfId="3" applyNumberFormat="1" applyFont="1" applyFill="1" applyBorder="1" applyAlignment="1" applyProtection="1">
      <alignment horizontal="center" vertical="center"/>
      <protection locked="0"/>
    </xf>
    <xf numFmtId="180" fontId="23" fillId="13" borderId="3" xfId="3" applyNumberFormat="1" applyFont="1" applyFill="1" applyBorder="1" applyAlignment="1">
      <alignment horizontal="center"/>
    </xf>
    <xf numFmtId="181" fontId="25" fillId="13" borderId="3" xfId="1" applyNumberFormat="1" applyFont="1" applyFill="1" applyBorder="1" applyAlignment="1" applyProtection="1">
      <alignment horizontal="center" vertical="center"/>
      <protection locked="0"/>
    </xf>
    <xf numFmtId="172" fontId="23" fillId="13" borderId="3" xfId="1" applyNumberFormat="1" applyFont="1" applyFill="1" applyBorder="1" applyAlignment="1">
      <alignment horizontal="center"/>
    </xf>
    <xf numFmtId="172" fontId="23" fillId="11" borderId="3" xfId="1" applyNumberFormat="1" applyFont="1" applyFill="1" applyBorder="1" applyAlignment="1">
      <alignment horizontal="center"/>
    </xf>
    <xf numFmtId="0" fontId="22" fillId="12" borderId="3" xfId="1" applyFont="1" applyFill="1" applyBorder="1"/>
    <xf numFmtId="172" fontId="23" fillId="13" borderId="3" xfId="12" applyNumberFormat="1" applyFont="1" applyFill="1" applyBorder="1" applyAlignment="1">
      <alignment horizontal="center"/>
    </xf>
    <xf numFmtId="172" fontId="23" fillId="11" borderId="3" xfId="12" applyNumberFormat="1" applyFont="1" applyFill="1" applyBorder="1" applyAlignment="1">
      <alignment horizontal="center"/>
    </xf>
    <xf numFmtId="0" fontId="22" fillId="12" borderId="3" xfId="1" applyFont="1" applyFill="1" applyBorder="1" applyAlignment="1">
      <alignment horizontal="left" wrapText="1" indent="2"/>
    </xf>
    <xf numFmtId="9" fontId="23" fillId="11" borderId="3" xfId="1" applyNumberFormat="1" applyFont="1" applyFill="1" applyBorder="1" applyAlignment="1">
      <alignment horizontal="center"/>
    </xf>
    <xf numFmtId="9" fontId="23" fillId="13" borderId="3" xfId="12" applyFont="1" applyFill="1" applyBorder="1" applyAlignment="1">
      <alignment horizontal="center"/>
    </xf>
    <xf numFmtId="0" fontId="24" fillId="12" borderId="3" xfId="1" applyFont="1" applyFill="1" applyBorder="1" applyAlignment="1">
      <alignment horizontal="left"/>
    </xf>
    <xf numFmtId="182" fontId="25" fillId="14" borderId="3" xfId="1" applyNumberFormat="1" applyFont="1" applyFill="1" applyBorder="1" applyAlignment="1" applyProtection="1">
      <alignment horizontal="center" vertical="center"/>
      <protection locked="0"/>
    </xf>
    <xf numFmtId="183" fontId="25" fillId="13" borderId="3" xfId="1" applyNumberFormat="1" applyFont="1" applyFill="1" applyBorder="1" applyAlignment="1" applyProtection="1">
      <alignment horizontal="center" vertical="center"/>
      <protection locked="0"/>
    </xf>
    <xf numFmtId="184" fontId="23" fillId="13" borderId="3" xfId="1" applyNumberFormat="1" applyFont="1" applyFill="1" applyBorder="1" applyAlignment="1">
      <alignment horizontal="center"/>
    </xf>
    <xf numFmtId="185" fontId="25" fillId="13" borderId="3" xfId="1" applyNumberFormat="1" applyFont="1" applyFill="1" applyBorder="1" applyAlignment="1" applyProtection="1">
      <alignment horizontal="center" vertical="center"/>
      <protection locked="0"/>
    </xf>
    <xf numFmtId="178" fontId="23" fillId="13" borderId="3" xfId="1" applyNumberFormat="1" applyFont="1" applyFill="1" applyBorder="1" applyAlignment="1">
      <alignment horizontal="center"/>
    </xf>
    <xf numFmtId="0" fontId="22" fillId="12" borderId="3" xfId="1" applyFont="1" applyFill="1" applyBorder="1" applyAlignment="1" applyProtection="1">
      <alignment horizontal="left" vertical="center" wrapText="1" indent="2"/>
    </xf>
    <xf numFmtId="10" fontId="23" fillId="13" borderId="3" xfId="1" applyNumberFormat="1" applyFont="1" applyFill="1" applyBorder="1" applyAlignment="1">
      <alignment horizontal="center" wrapText="1"/>
    </xf>
    <xf numFmtId="178" fontId="23" fillId="13" borderId="3" xfId="1" quotePrefix="1" applyNumberFormat="1" applyFont="1" applyFill="1" applyBorder="1" applyAlignment="1">
      <alignment horizontal="center"/>
    </xf>
    <xf numFmtId="0" fontId="25" fillId="13" borderId="3" xfId="1" applyFont="1" applyFill="1" applyBorder="1" applyAlignment="1" applyProtection="1">
      <alignment horizontal="center" vertical="center" wrapText="1"/>
      <protection locked="0"/>
    </xf>
    <xf numFmtId="178" fontId="23" fillId="13" borderId="3" xfId="1" quotePrefix="1" applyNumberFormat="1" applyFont="1" applyFill="1" applyBorder="1" applyAlignment="1">
      <alignment horizontal="center" wrapText="1"/>
    </xf>
    <xf numFmtId="17" fontId="25" fillId="15" borderId="3" xfId="1" applyNumberFormat="1" applyFont="1" applyFill="1" applyBorder="1" applyAlignment="1" applyProtection="1">
      <alignment horizontal="center" vertical="center" wrapText="1"/>
    </xf>
    <xf numFmtId="0" fontId="24" fillId="0" borderId="0" xfId="1" applyFont="1" applyAlignment="1">
      <alignment vertical="center" wrapText="1"/>
    </xf>
    <xf numFmtId="9" fontId="22" fillId="13" borderId="3" xfId="1" applyNumberFormat="1" applyFont="1" applyFill="1" applyBorder="1" applyAlignment="1">
      <alignment horizontal="center" vertical="center" wrapText="1"/>
    </xf>
    <xf numFmtId="172" fontId="22" fillId="13" borderId="3" xfId="1" applyNumberFormat="1" applyFont="1" applyFill="1" applyBorder="1" applyAlignment="1">
      <alignment horizontal="center" vertical="center"/>
    </xf>
    <xf numFmtId="9" fontId="22" fillId="11" borderId="3" xfId="1" applyNumberFormat="1" applyFont="1" applyFill="1" applyBorder="1" applyAlignment="1">
      <alignment vertical="center"/>
    </xf>
    <xf numFmtId="0" fontId="22" fillId="11" borderId="3" xfId="1" applyFont="1" applyFill="1" applyBorder="1" applyAlignment="1">
      <alignment vertical="center"/>
    </xf>
    <xf numFmtId="0" fontId="26" fillId="11" borderId="3" xfId="1" applyFont="1" applyFill="1" applyBorder="1" applyAlignment="1">
      <alignment horizontal="center" vertical="center"/>
    </xf>
    <xf numFmtId="0" fontId="27" fillId="12" borderId="3" xfId="1" applyFont="1" applyFill="1" applyBorder="1" applyAlignment="1">
      <alignment vertical="center"/>
    </xf>
    <xf numFmtId="0" fontId="24" fillId="0" borderId="0" xfId="1" applyFont="1"/>
    <xf numFmtId="0" fontId="24" fillId="12" borderId="3" xfId="1" applyFont="1" applyFill="1" applyBorder="1" applyAlignment="1">
      <alignment horizontal="center" vertical="center" wrapText="1"/>
    </xf>
    <xf numFmtId="0" fontId="28" fillId="16" borderId="15" xfId="1" applyFont="1" applyFill="1" applyBorder="1" applyAlignment="1">
      <alignment horizontal="center" vertical="center" wrapText="1"/>
    </xf>
    <xf numFmtId="0" fontId="24" fillId="17" borderId="15" xfId="1" applyFont="1" applyFill="1" applyBorder="1" applyAlignment="1">
      <alignment horizontal="center" vertical="center" wrapText="1"/>
    </xf>
    <xf numFmtId="0" fontId="28" fillId="16" borderId="16" xfId="1" applyFont="1" applyFill="1" applyBorder="1" applyAlignment="1">
      <alignment horizontal="right" wrapText="1"/>
    </xf>
    <xf numFmtId="0" fontId="24" fillId="0" borderId="0" xfId="1" applyFont="1" applyBorder="1" applyAlignment="1">
      <alignment horizontal="center" vertical="center" wrapText="1"/>
    </xf>
    <xf numFmtId="0" fontId="24" fillId="13" borderId="16" xfId="1" quotePrefix="1" applyFont="1" applyFill="1" applyBorder="1" applyAlignment="1" applyProtection="1">
      <alignment horizontal="center" vertical="center" wrapText="1"/>
      <protection locked="0"/>
    </xf>
    <xf numFmtId="178" fontId="28" fillId="16" borderId="16" xfId="1" quotePrefix="1" applyNumberFormat="1" applyFont="1" applyFill="1" applyBorder="1" applyAlignment="1">
      <alignment horizontal="right" vertical="center" wrapText="1"/>
    </xf>
    <xf numFmtId="0" fontId="24" fillId="12" borderId="15" xfId="1" applyFont="1" applyFill="1" applyBorder="1" applyAlignment="1">
      <alignment horizontal="center"/>
    </xf>
    <xf numFmtId="0" fontId="28" fillId="16" borderId="3" xfId="1" applyFont="1" applyFill="1" applyBorder="1" applyAlignment="1">
      <alignment horizontal="right"/>
    </xf>
    <xf numFmtId="0" fontId="27" fillId="0" borderId="0" xfId="1" applyFont="1" applyFill="1" applyBorder="1"/>
    <xf numFmtId="0" fontId="30" fillId="12" borderId="3" xfId="1" applyFont="1" applyFill="1" applyBorder="1"/>
    <xf numFmtId="0" fontId="6" fillId="0" borderId="0" xfId="7"/>
    <xf numFmtId="186" fontId="33" fillId="18" borderId="17" xfId="1" applyNumberFormat="1" applyFont="1" applyFill="1" applyBorder="1" applyAlignment="1" applyProtection="1">
      <alignment horizontal="center" vertical="center"/>
    </xf>
    <xf numFmtId="186" fontId="33" fillId="18" borderId="18" xfId="1" applyNumberFormat="1" applyFont="1" applyFill="1" applyBorder="1" applyAlignment="1" applyProtection="1">
      <alignment horizontal="center" vertical="center"/>
    </xf>
    <xf numFmtId="186" fontId="33" fillId="18" borderId="19" xfId="1" applyNumberFormat="1" applyFont="1" applyFill="1" applyBorder="1" applyAlignment="1" applyProtection="1">
      <alignment horizontal="center" vertical="center"/>
    </xf>
    <xf numFmtId="178" fontId="23" fillId="13" borderId="20" xfId="1" applyNumberFormat="1" applyFont="1" applyFill="1" applyBorder="1" applyAlignment="1">
      <alignment horizontal="center" wrapText="1"/>
    </xf>
    <xf numFmtId="178" fontId="23" fillId="13" borderId="18" xfId="1" applyNumberFormat="1" applyFont="1" applyFill="1" applyBorder="1" applyAlignment="1">
      <alignment horizontal="center" wrapText="1"/>
    </xf>
    <xf numFmtId="178" fontId="23" fillId="13" borderId="19" xfId="1" applyNumberFormat="1" applyFont="1" applyFill="1" applyBorder="1" applyAlignment="1">
      <alignment horizontal="center" wrapText="1"/>
    </xf>
    <xf numFmtId="178" fontId="23" fillId="13" borderId="17" xfId="1" applyNumberFormat="1" applyFont="1" applyFill="1" applyBorder="1" applyAlignment="1">
      <alignment horizontal="center" wrapText="1"/>
    </xf>
    <xf numFmtId="0" fontId="34" fillId="12" borderId="21" xfId="1" applyFont="1" applyFill="1" applyBorder="1" applyAlignment="1">
      <alignment horizontal="left"/>
    </xf>
    <xf numFmtId="186" fontId="33" fillId="18" borderId="22" xfId="1" applyNumberFormat="1" applyFont="1" applyFill="1" applyBorder="1" applyAlignment="1" applyProtection="1">
      <alignment horizontal="center" vertical="center"/>
    </xf>
    <xf numFmtId="186" fontId="33" fillId="18" borderId="3" xfId="1" applyNumberFormat="1" applyFont="1" applyFill="1" applyBorder="1" applyAlignment="1" applyProtection="1">
      <alignment horizontal="center" vertical="center"/>
    </xf>
    <xf numFmtId="186" fontId="33" fillId="18" borderId="23" xfId="1" applyNumberFormat="1" applyFont="1" applyFill="1" applyBorder="1" applyAlignment="1" applyProtection="1">
      <alignment horizontal="center" vertical="center"/>
    </xf>
    <xf numFmtId="178" fontId="23" fillId="13" borderId="6" xfId="1" applyNumberFormat="1" applyFont="1" applyFill="1" applyBorder="1" applyAlignment="1">
      <alignment horizontal="center" wrapText="1"/>
    </xf>
    <xf numFmtId="178" fontId="23" fillId="13" borderId="23" xfId="1" applyNumberFormat="1" applyFont="1" applyFill="1" applyBorder="1" applyAlignment="1">
      <alignment horizontal="center" wrapText="1"/>
    </xf>
    <xf numFmtId="178" fontId="23" fillId="13" borderId="22" xfId="1" applyNumberFormat="1" applyFont="1" applyFill="1" applyBorder="1" applyAlignment="1">
      <alignment horizontal="center" wrapText="1"/>
    </xf>
    <xf numFmtId="0" fontId="34" fillId="12" borderId="24" xfId="1" applyFont="1" applyFill="1" applyBorder="1" applyAlignment="1">
      <alignment horizontal="left"/>
    </xf>
    <xf numFmtId="0" fontId="2" fillId="19" borderId="22" xfId="7" applyFont="1" applyFill="1" applyBorder="1" applyAlignment="1">
      <alignment horizontal="center" vertical="center" wrapText="1"/>
    </xf>
    <xf numFmtId="0" fontId="2" fillId="19" borderId="3" xfId="7" applyFont="1" applyFill="1" applyBorder="1" applyAlignment="1">
      <alignment horizontal="center" vertical="center" wrapText="1"/>
    </xf>
    <xf numFmtId="0" fontId="2" fillId="19" borderId="23" xfId="7" applyFont="1" applyFill="1" applyBorder="1" applyAlignment="1">
      <alignment horizontal="center" vertical="center" wrapText="1"/>
    </xf>
    <xf numFmtId="0" fontId="2" fillId="19" borderId="6" xfId="7" applyFont="1" applyFill="1" applyBorder="1" applyAlignment="1">
      <alignment horizontal="center" vertical="center" wrapText="1"/>
    </xf>
    <xf numFmtId="0" fontId="6" fillId="0" borderId="0" xfId="7" applyAlignment="1">
      <alignment vertical="center"/>
    </xf>
    <xf numFmtId="0" fontId="35" fillId="0" borderId="0" xfId="1" applyFont="1" applyAlignment="1">
      <alignment vertical="center"/>
    </xf>
    <xf numFmtId="0" fontId="6" fillId="20" borderId="0" xfId="7" applyFill="1"/>
    <xf numFmtId="0" fontId="34" fillId="12" borderId="29" xfId="1" applyFont="1" applyFill="1" applyBorder="1" applyAlignment="1">
      <alignment horizontal="left"/>
    </xf>
    <xf numFmtId="0" fontId="34" fillId="12" borderId="30" xfId="1" applyFont="1" applyFill="1" applyBorder="1" applyAlignment="1">
      <alignment horizontal="left"/>
    </xf>
    <xf numFmtId="0" fontId="6" fillId="0" borderId="0" xfId="7" applyFont="1" applyAlignment="1">
      <alignment vertical="center"/>
    </xf>
    <xf numFmtId="0" fontId="34" fillId="12" borderId="9" xfId="1" applyFont="1" applyFill="1" applyBorder="1" applyAlignment="1">
      <alignment horizontal="left"/>
    </xf>
    <xf numFmtId="186" fontId="33" fillId="18" borderId="32" xfId="1" applyNumberFormat="1" applyFont="1" applyFill="1" applyBorder="1" applyAlignment="1" applyProtection="1">
      <alignment horizontal="center" vertical="center"/>
    </xf>
    <xf numFmtId="186" fontId="33" fillId="18" borderId="33" xfId="1" applyNumberFormat="1" applyFont="1" applyFill="1" applyBorder="1" applyAlignment="1" applyProtection="1">
      <alignment horizontal="center" vertical="center"/>
    </xf>
    <xf numFmtId="0" fontId="36" fillId="12" borderId="34" xfId="1" applyFont="1" applyFill="1" applyBorder="1" applyAlignment="1">
      <alignment horizontal="center" vertical="center" wrapText="1"/>
    </xf>
    <xf numFmtId="0" fontId="37" fillId="12" borderId="35" xfId="1" applyFont="1" applyFill="1" applyBorder="1" applyAlignment="1">
      <alignment horizontal="center"/>
    </xf>
    <xf numFmtId="0" fontId="37" fillId="12" borderId="36" xfId="1" applyFont="1" applyFill="1" applyBorder="1" applyAlignment="1">
      <alignment horizontal="center"/>
    </xf>
    <xf numFmtId="0" fontId="37" fillId="12" borderId="37" xfId="1" applyFont="1" applyFill="1" applyBorder="1" applyAlignment="1">
      <alignment horizontal="center"/>
    </xf>
    <xf numFmtId="0" fontId="34" fillId="12" borderId="34" xfId="1" applyFont="1" applyFill="1" applyBorder="1" applyAlignment="1">
      <alignment horizontal="left"/>
    </xf>
    <xf numFmtId="2" fontId="7" fillId="14" borderId="33" xfId="7" applyNumberFormat="1" applyFont="1" applyFill="1" applyBorder="1" applyAlignment="1" applyProtection="1">
      <alignment horizontal="center" vertical="center"/>
      <protection locked="0"/>
    </xf>
    <xf numFmtId="176" fontId="7" fillId="14" borderId="6" xfId="7" applyNumberFormat="1" applyFont="1" applyFill="1" applyBorder="1" applyAlignment="1" applyProtection="1">
      <alignment horizontal="center" vertical="center"/>
      <protection locked="0"/>
    </xf>
    <xf numFmtId="176" fontId="7" fillId="14" borderId="3" xfId="7" applyNumberFormat="1" applyFont="1" applyFill="1" applyBorder="1" applyAlignment="1" applyProtection="1">
      <alignment horizontal="center" vertical="center"/>
      <protection locked="0"/>
    </xf>
    <xf numFmtId="176" fontId="7" fillId="14" borderId="23" xfId="7" applyNumberFormat="1" applyFont="1" applyFill="1" applyBorder="1" applyAlignment="1" applyProtection="1">
      <alignment horizontal="center" vertical="center"/>
      <protection locked="0"/>
    </xf>
    <xf numFmtId="0" fontId="38" fillId="0" borderId="0" xfId="7" applyFont="1" applyAlignment="1">
      <alignment vertical="center"/>
    </xf>
    <xf numFmtId="0" fontId="29" fillId="13" borderId="3" xfId="1" applyFont="1" applyFill="1" applyBorder="1" applyAlignment="1">
      <alignment horizontal="center"/>
    </xf>
    <xf numFmtId="0" fontId="37" fillId="12" borderId="3" xfId="1" applyFont="1" applyFill="1" applyBorder="1" applyAlignment="1">
      <alignment horizontal="left"/>
    </xf>
    <xf numFmtId="0" fontId="6" fillId="0" borderId="0" xfId="7" applyAlignment="1">
      <alignment horizontal="center" vertical="center"/>
    </xf>
    <xf numFmtId="0" fontId="2" fillId="0" borderId="0" xfId="7" applyFont="1" applyAlignment="1">
      <alignment vertical="center"/>
    </xf>
    <xf numFmtId="0" fontId="8" fillId="12" borderId="0" xfId="1" applyFont="1" applyFill="1" applyAlignment="1">
      <alignment vertical="center" wrapText="1"/>
    </xf>
    <xf numFmtId="0" fontId="8" fillId="12" borderId="40" xfId="1" applyFont="1" applyFill="1" applyBorder="1" applyAlignment="1">
      <alignment horizontal="center" vertical="center" wrapText="1"/>
    </xf>
    <xf numFmtId="0" fontId="8" fillId="12" borderId="0" xfId="1" applyFont="1" applyFill="1" applyBorder="1" applyAlignment="1">
      <alignment horizontal="center" vertical="center" wrapText="1"/>
    </xf>
    <xf numFmtId="0" fontId="8" fillId="12" borderId="41" xfId="1" applyFont="1" applyFill="1" applyBorder="1" applyAlignment="1">
      <alignment horizontal="center" vertical="center" wrapText="1"/>
    </xf>
    <xf numFmtId="0" fontId="39" fillId="0" borderId="43" xfId="1" applyFont="1" applyBorder="1" applyProtection="1">
      <protection locked="0"/>
    </xf>
    <xf numFmtId="0" fontId="7" fillId="0" borderId="0" xfId="1" applyAlignment="1">
      <alignment horizontal="center"/>
    </xf>
    <xf numFmtId="187" fontId="7" fillId="0" borderId="0" xfId="1" applyNumberFormat="1"/>
    <xf numFmtId="0" fontId="7" fillId="13" borderId="3" xfId="1" applyFill="1" applyBorder="1" applyAlignment="1">
      <alignment horizontal="center"/>
    </xf>
    <xf numFmtId="0" fontId="7" fillId="12" borderId="3" xfId="1" applyFill="1" applyBorder="1" applyAlignment="1">
      <alignment horizontal="center"/>
    </xf>
    <xf numFmtId="0" fontId="7" fillId="12" borderId="3" xfId="1" applyFill="1" applyBorder="1" applyAlignment="1">
      <alignment horizontal="center" wrapText="1"/>
    </xf>
    <xf numFmtId="0" fontId="29" fillId="0" borderId="0" xfId="1" applyFont="1" applyBorder="1" applyAlignment="1">
      <alignment vertical="center"/>
    </xf>
    <xf numFmtId="186" fontId="7" fillId="0" borderId="0" xfId="1" applyNumberFormat="1" applyBorder="1"/>
    <xf numFmtId="0" fontId="7" fillId="0" borderId="0" xfId="1" applyBorder="1"/>
    <xf numFmtId="186" fontId="7" fillId="0" borderId="3" xfId="1" applyNumberFormat="1" applyBorder="1"/>
    <xf numFmtId="0" fontId="7" fillId="0" borderId="3" xfId="1" applyBorder="1"/>
    <xf numFmtId="0" fontId="41" fillId="0" borderId="0" xfId="1" applyFont="1" applyFill="1" applyAlignment="1">
      <alignment horizontal="left" indent="4"/>
    </xf>
    <xf numFmtId="10" fontId="8" fillId="0" borderId="0" xfId="1" applyNumberFormat="1" applyFont="1" applyBorder="1" applyAlignment="1">
      <alignment horizontal="center"/>
    </xf>
    <xf numFmtId="10" fontId="8" fillId="0" borderId="3" xfId="1" applyNumberFormat="1" applyFont="1" applyBorder="1" applyAlignment="1">
      <alignment horizontal="center"/>
    </xf>
    <xf numFmtId="0" fontId="8" fillId="0" borderId="3" xfId="1" applyFont="1" applyBorder="1" applyAlignment="1">
      <alignment horizontal="center"/>
    </xf>
    <xf numFmtId="0" fontId="8" fillId="0" borderId="0" xfId="1" applyFont="1" applyBorder="1" applyAlignment="1">
      <alignment horizontal="center"/>
    </xf>
    <xf numFmtId="10" fontId="40" fillId="0" borderId="0" xfId="1" applyNumberFormat="1" applyFont="1" applyBorder="1" applyAlignment="1">
      <alignment horizontal="center"/>
    </xf>
    <xf numFmtId="0" fontId="7" fillId="0" borderId="0" xfId="1" applyBorder="1" applyAlignment="1">
      <alignment horizontal="center"/>
    </xf>
    <xf numFmtId="0" fontId="7" fillId="0" borderId="4" xfId="1" applyBorder="1"/>
    <xf numFmtId="10" fontId="8" fillId="13" borderId="23" xfId="1" applyNumberFormat="1" applyFont="1" applyFill="1" applyBorder="1" applyAlignment="1">
      <alignment horizontal="center"/>
    </xf>
    <xf numFmtId="0" fontId="7" fillId="11" borderId="19" xfId="1" applyFill="1" applyBorder="1"/>
    <xf numFmtId="0" fontId="7" fillId="13" borderId="6" xfId="1" applyFill="1" applyBorder="1"/>
    <xf numFmtId="0" fontId="7" fillId="11" borderId="23" xfId="1" applyFill="1" applyBorder="1"/>
    <xf numFmtId="0" fontId="7" fillId="12" borderId="4" xfId="1" applyFill="1" applyBorder="1" applyAlignment="1">
      <alignment horizontal="center"/>
    </xf>
    <xf numFmtId="0" fontId="8" fillId="12" borderId="22" xfId="1" applyFont="1" applyFill="1" applyBorder="1" applyAlignment="1">
      <alignment horizontal="center"/>
    </xf>
    <xf numFmtId="0" fontId="8" fillId="12" borderId="3" xfId="1" applyFont="1" applyFill="1" applyBorder="1" applyAlignment="1">
      <alignment horizontal="center"/>
    </xf>
    <xf numFmtId="0" fontId="8" fillId="12" borderId="23" xfId="1" applyFont="1" applyFill="1" applyBorder="1" applyAlignment="1">
      <alignment horizontal="center"/>
    </xf>
    <xf numFmtId="0" fontId="7" fillId="12" borderId="6" xfId="1" applyFill="1" applyBorder="1"/>
    <xf numFmtId="0" fontId="7" fillId="12" borderId="3" xfId="1" applyFill="1" applyBorder="1"/>
    <xf numFmtId="0" fontId="7" fillId="12" borderId="22" xfId="1" applyFill="1" applyBorder="1" applyAlignment="1">
      <alignment horizontal="center"/>
    </xf>
    <xf numFmtId="0" fontId="7" fillId="12" borderId="23" xfId="1" applyFill="1" applyBorder="1" applyAlignment="1">
      <alignment horizontal="center"/>
    </xf>
    <xf numFmtId="0" fontId="24" fillId="13" borderId="3" xfId="1" applyFont="1" applyFill="1" applyBorder="1" applyAlignment="1">
      <alignment horizontal="center" textRotation="90" wrapText="1"/>
    </xf>
    <xf numFmtId="0" fontId="24" fillId="12" borderId="16" xfId="1" quotePrefix="1" applyFont="1" applyFill="1" applyBorder="1" applyAlignment="1">
      <alignment horizontal="center" vertical="center" wrapText="1"/>
    </xf>
    <xf numFmtId="0" fontId="24" fillId="12" borderId="16" xfId="1" applyFont="1" applyFill="1" applyBorder="1" applyAlignment="1">
      <alignment horizontal="center" vertical="center" wrapText="1"/>
    </xf>
    <xf numFmtId="0" fontId="42" fillId="0" borderId="0" xfId="1" applyFont="1"/>
    <xf numFmtId="0" fontId="39" fillId="0" borderId="43" xfId="1" applyFont="1" applyBorder="1" applyAlignment="1" applyProtection="1">
      <alignment vertical="center" wrapText="1"/>
      <protection locked="0"/>
    </xf>
    <xf numFmtId="0" fontId="8" fillId="12" borderId="0" xfId="1" applyFont="1" applyFill="1" applyAlignment="1">
      <alignment horizontal="center" vertical="center" wrapText="1"/>
    </xf>
    <xf numFmtId="0" fontId="39" fillId="0" borderId="43" xfId="1" applyFont="1" applyBorder="1" applyAlignment="1" applyProtection="1">
      <alignment vertical="center"/>
      <protection locked="0"/>
    </xf>
    <xf numFmtId="49" fontId="7" fillId="0" borderId="0" xfId="1" applyNumberFormat="1" applyAlignment="1">
      <alignment horizontal="left" vertical="center"/>
    </xf>
    <xf numFmtId="0" fontId="43" fillId="0" borderId="48" xfId="1" applyFont="1" applyBorder="1" applyAlignment="1" applyProtection="1">
      <alignment vertical="center"/>
      <protection locked="0"/>
    </xf>
    <xf numFmtId="49" fontId="44" fillId="0" borderId="0" xfId="1" applyNumberFormat="1" applyFont="1" applyAlignment="1">
      <alignment horizontal="left"/>
    </xf>
    <xf numFmtId="0" fontId="8" fillId="12" borderId="3" xfId="1" applyFont="1" applyFill="1" applyBorder="1" applyAlignment="1">
      <alignment vertical="center" wrapText="1"/>
    </xf>
    <xf numFmtId="0" fontId="8" fillId="12" borderId="3" xfId="1" applyFont="1" applyFill="1" applyBorder="1" applyAlignment="1">
      <alignment horizontal="center" vertical="center" wrapText="1"/>
    </xf>
    <xf numFmtId="0" fontId="39" fillId="0" borderId="48" xfId="1" applyFont="1" applyBorder="1" applyAlignment="1" applyProtection="1">
      <alignment vertical="center" wrapText="1"/>
      <protection locked="0"/>
    </xf>
    <xf numFmtId="0" fontId="46" fillId="0" borderId="0" xfId="1" applyFont="1" applyAlignment="1">
      <alignment vertical="center"/>
    </xf>
    <xf numFmtId="0" fontId="8" fillId="0" borderId="0" xfId="1" applyFont="1" applyBorder="1" applyAlignment="1">
      <alignment horizontal="center" vertical="center" wrapText="1"/>
    </xf>
    <xf numFmtId="0" fontId="11" fillId="0" borderId="0" xfId="5" applyFont="1" applyBorder="1" applyAlignment="1" applyProtection="1">
      <alignment horizontal="center" vertical="center"/>
    </xf>
    <xf numFmtId="0" fontId="46" fillId="0" borderId="0" xfId="1" applyFont="1" applyAlignment="1">
      <alignment horizontal="left" vertical="center"/>
    </xf>
    <xf numFmtId="0" fontId="40" fillId="0" borderId="0" xfId="1" applyFont="1" applyAlignment="1">
      <alignment vertical="center"/>
    </xf>
    <xf numFmtId="0" fontId="43" fillId="0" borderId="0" xfId="1" applyFont="1" applyBorder="1" applyAlignment="1" applyProtection="1">
      <alignment vertical="center"/>
      <protection locked="0"/>
    </xf>
    <xf numFmtId="0" fontId="47" fillId="0" borderId="0" xfId="1" applyFont="1"/>
    <xf numFmtId="0" fontId="42" fillId="0" borderId="0" xfId="1" applyFont="1" applyBorder="1" applyAlignment="1"/>
    <xf numFmtId="0" fontId="7" fillId="0" borderId="0" xfId="1" applyFont="1" applyBorder="1"/>
    <xf numFmtId="0" fontId="11" fillId="0" borderId="0" xfId="1" applyFont="1" applyBorder="1" applyAlignment="1">
      <alignment vertical="center"/>
    </xf>
    <xf numFmtId="0" fontId="11" fillId="0" borderId="7" xfId="1" applyFont="1" applyBorder="1" applyAlignment="1">
      <alignment vertical="center"/>
    </xf>
    <xf numFmtId="0" fontId="24" fillId="12" borderId="3" xfId="1" applyFont="1" applyFill="1" applyBorder="1" applyAlignment="1">
      <alignment horizontal="center"/>
    </xf>
    <xf numFmtId="0" fontId="24" fillId="12" borderId="3" xfId="1" quotePrefix="1" applyFont="1" applyFill="1" applyBorder="1" applyAlignment="1">
      <alignment horizontal="center" vertical="center" wrapText="1"/>
    </xf>
    <xf numFmtId="0" fontId="7" fillId="0" borderId="3" xfId="1" applyFont="1" applyBorder="1"/>
    <xf numFmtId="49" fontId="48" fillId="2" borderId="0" xfId="0" applyNumberFormat="1" applyFont="1" applyFill="1" applyAlignment="1">
      <alignment horizontal="left" vertical="center" wrapText="1"/>
    </xf>
    <xf numFmtId="8" fontId="7" fillId="0" borderId="3" xfId="1" applyNumberFormat="1" applyFont="1" applyBorder="1"/>
    <xf numFmtId="0" fontId="7" fillId="0" borderId="0" xfId="1" applyFont="1" applyAlignment="1"/>
    <xf numFmtId="0" fontId="8" fillId="21" borderId="3" xfId="1" applyFont="1" applyFill="1" applyBorder="1" applyAlignment="1"/>
    <xf numFmtId="0" fontId="8" fillId="21" borderId="3" xfId="1" applyFont="1" applyFill="1" applyBorder="1" applyAlignment="1">
      <alignment horizontal="center"/>
    </xf>
    <xf numFmtId="0" fontId="7" fillId="0" borderId="31" xfId="1" applyFont="1" applyBorder="1" applyAlignment="1"/>
    <xf numFmtId="0" fontId="11" fillId="0" borderId="45" xfId="1" applyFont="1" applyBorder="1" applyAlignment="1">
      <alignment vertical="center"/>
    </xf>
    <xf numFmtId="0" fontId="7" fillId="0" borderId="45" xfId="1" applyFont="1" applyBorder="1" applyAlignment="1"/>
    <xf numFmtId="0" fontId="7" fillId="0" borderId="44" xfId="1" applyFont="1" applyBorder="1" applyAlignment="1"/>
    <xf numFmtId="0" fontId="7" fillId="0" borderId="41" xfId="1" applyFont="1" applyBorder="1" applyAlignment="1"/>
    <xf numFmtId="0" fontId="42" fillId="0" borderId="0" xfId="1" applyFont="1" applyBorder="1" applyAlignment="1">
      <alignment horizontal="left"/>
    </xf>
    <xf numFmtId="0" fontId="7" fillId="0" borderId="0" xfId="1" applyFont="1" applyBorder="1" applyAlignment="1"/>
    <xf numFmtId="0" fontId="7" fillId="0" borderId="40" xfId="1" applyFont="1" applyBorder="1" applyAlignment="1"/>
    <xf numFmtId="0" fontId="7" fillId="0" borderId="3" xfId="1" applyFont="1" applyBorder="1" applyAlignment="1"/>
    <xf numFmtId="49" fontId="7" fillId="13" borderId="3" xfId="1" applyNumberFormat="1" applyFont="1" applyFill="1" applyBorder="1" applyAlignment="1" applyProtection="1">
      <alignment horizontal="center" vertical="center" wrapText="1"/>
      <protection locked="0"/>
    </xf>
    <xf numFmtId="0" fontId="7" fillId="0" borderId="29" xfId="1" applyFont="1" applyBorder="1" applyAlignment="1"/>
    <xf numFmtId="0" fontId="7" fillId="0" borderId="39" xfId="1" applyFont="1" applyBorder="1" applyAlignment="1"/>
    <xf numFmtId="0" fontId="7" fillId="0" borderId="38" xfId="1" applyFont="1" applyBorder="1" applyAlignment="1"/>
    <xf numFmtId="0" fontId="49" fillId="0" borderId="0" xfId="1" applyFont="1" applyAlignment="1"/>
    <xf numFmtId="177" fontId="15" fillId="23" borderId="3" xfId="7" applyNumberFormat="1" applyFont="1" applyFill="1" applyBorder="1" applyAlignment="1">
      <alignment horizontal="center" vertical="center" wrapText="1"/>
    </xf>
    <xf numFmtId="174" fontId="19" fillId="23" borderId="3" xfId="7" applyNumberFormat="1" applyFont="1" applyFill="1" applyBorder="1" applyAlignment="1">
      <alignment horizontal="center" vertical="center" wrapText="1"/>
    </xf>
    <xf numFmtId="0" fontId="50" fillId="24" borderId="0" xfId="1" applyFont="1" applyFill="1" applyAlignment="1">
      <alignment horizontal="center"/>
    </xf>
    <xf numFmtId="0" fontId="51" fillId="24" borderId="0" xfId="1" applyFont="1" applyFill="1" applyAlignment="1">
      <alignment horizontal="left"/>
    </xf>
    <xf numFmtId="164" fontId="0" fillId="6" borderId="3" xfId="0" applyNumberFormat="1" applyFill="1" applyBorder="1" applyAlignment="1">
      <alignment horizontal="center" vertical="center"/>
    </xf>
    <xf numFmtId="170" fontId="0" fillId="6" borderId="3" xfId="0" applyNumberFormat="1" applyFill="1" applyBorder="1" applyAlignment="1">
      <alignment horizontal="center" vertical="center"/>
    </xf>
    <xf numFmtId="0" fontId="50" fillId="25" borderId="0" xfId="0" applyFont="1" applyFill="1" applyAlignment="1">
      <alignment horizontal="center"/>
    </xf>
    <xf numFmtId="183" fontId="7" fillId="13" borderId="3" xfId="1" applyNumberFormat="1" applyFill="1" applyBorder="1" applyAlignment="1" applyProtection="1">
      <alignment horizontal="center" vertical="center"/>
      <protection locked="0"/>
    </xf>
    <xf numFmtId="183" fontId="7" fillId="22" borderId="3" xfId="1" applyNumberFormat="1" applyFill="1" applyBorder="1" applyAlignment="1" applyProtection="1">
      <alignment horizontal="center" vertical="center"/>
      <protection locked="0"/>
    </xf>
    <xf numFmtId="183" fontId="0" fillId="13" borderId="3" xfId="12" applyNumberFormat="1" applyFont="1" applyFill="1" applyBorder="1" applyAlignment="1" applyProtection="1">
      <alignment horizontal="center" vertical="center"/>
      <protection locked="0"/>
    </xf>
    <xf numFmtId="183" fontId="0" fillId="22" borderId="3" xfId="12"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164" fontId="0" fillId="3" borderId="3" xfId="0" applyNumberFormat="1" applyFill="1" applyBorder="1" applyAlignment="1" applyProtection="1">
      <alignment horizontal="center" vertical="center"/>
      <protection locked="0"/>
    </xf>
    <xf numFmtId="165" fontId="0" fillId="7" borderId="3"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0" fontId="7" fillId="12" borderId="6" xfId="1" applyFill="1" applyBorder="1" applyAlignment="1">
      <alignment horizontal="center"/>
    </xf>
    <xf numFmtId="49" fontId="5"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0" fontId="8" fillId="12" borderId="23" xfId="1" applyFont="1" applyFill="1" applyBorder="1" applyAlignment="1">
      <alignment horizontal="center" vertical="center" wrapText="1"/>
    </xf>
    <xf numFmtId="0" fontId="8" fillId="12" borderId="22" xfId="1" applyFont="1" applyFill="1" applyBorder="1" applyAlignment="1">
      <alignment horizontal="center" vertical="center" wrapText="1"/>
    </xf>
    <xf numFmtId="0" fontId="0" fillId="0" borderId="23" xfId="0" applyBorder="1" applyAlignment="1" applyProtection="1">
      <alignment vertical="center"/>
      <protection locked="0"/>
    </xf>
    <xf numFmtId="0" fontId="0" fillId="0" borderId="22" xfId="0" applyBorder="1" applyAlignment="1" applyProtection="1">
      <alignment vertical="center"/>
      <protection locked="0"/>
    </xf>
    <xf numFmtId="164" fontId="0" fillId="3" borderId="23" xfId="0" applyNumberFormat="1" applyFill="1" applyBorder="1" applyAlignment="1" applyProtection="1">
      <alignment horizontal="center" vertical="center"/>
      <protection locked="0"/>
    </xf>
    <xf numFmtId="165" fontId="0" fillId="7" borderId="22" xfId="0" applyNumberFormat="1" applyFill="1" applyBorder="1" applyAlignment="1" applyProtection="1">
      <alignment horizontal="center" vertical="center"/>
      <protection locked="0"/>
    </xf>
    <xf numFmtId="164" fontId="0" fillId="3" borderId="22" xfId="0" applyNumberFormat="1" applyFill="1" applyBorder="1" applyAlignment="1" applyProtection="1">
      <alignment horizontal="center" vertical="center"/>
      <protection locked="0"/>
    </xf>
    <xf numFmtId="164" fontId="0" fillId="3" borderId="19" xfId="0" applyNumberFormat="1" applyFill="1" applyBorder="1" applyAlignment="1" applyProtection="1">
      <alignment horizontal="center" vertical="center"/>
      <protection locked="0"/>
    </xf>
    <xf numFmtId="164" fontId="0" fillId="3" borderId="18" xfId="0" applyNumberFormat="1" applyFill="1" applyBorder="1" applyAlignment="1" applyProtection="1">
      <alignment horizontal="center" vertical="center"/>
      <protection locked="0"/>
    </xf>
    <xf numFmtId="166" fontId="0" fillId="3" borderId="18" xfId="0" applyNumberFormat="1" applyFill="1" applyBorder="1" applyAlignment="1" applyProtection="1">
      <alignment horizontal="center" vertical="center"/>
      <protection locked="0"/>
    </xf>
    <xf numFmtId="165" fontId="0" fillId="7" borderId="18" xfId="0" applyNumberFormat="1" applyFill="1" applyBorder="1" applyAlignment="1" applyProtection="1">
      <alignment horizontal="center" vertical="center"/>
      <protection locked="0"/>
    </xf>
    <xf numFmtId="164" fontId="0" fillId="3" borderId="17" xfId="0" applyNumberFormat="1" applyFill="1" applyBorder="1" applyAlignment="1" applyProtection="1">
      <alignment horizontal="center" vertical="center"/>
      <protection locked="0"/>
    </xf>
    <xf numFmtId="0" fontId="53" fillId="21" borderId="3" xfId="287" applyFill="1" applyBorder="1" applyAlignment="1" applyProtection="1">
      <alignment horizontal="center" vertical="center"/>
    </xf>
    <xf numFmtId="0" fontId="7" fillId="0" borderId="14" xfId="1" applyBorder="1" applyAlignment="1">
      <alignment vertical="center" wrapText="1"/>
    </xf>
    <xf numFmtId="0" fontId="7" fillId="0" borderId="13" xfId="1" applyBorder="1" applyAlignment="1">
      <alignment vertical="center" wrapText="1"/>
    </xf>
    <xf numFmtId="0" fontId="7" fillId="0" borderId="12" xfId="1" applyBorder="1" applyAlignment="1">
      <alignment vertical="center" wrapText="1"/>
    </xf>
    <xf numFmtId="0" fontId="7" fillId="0" borderId="11" xfId="1" applyBorder="1" applyAlignment="1">
      <alignment vertical="center" wrapText="1"/>
    </xf>
    <xf numFmtId="0" fontId="7" fillId="0" borderId="0" xfId="1" applyBorder="1" applyAlignment="1">
      <alignment vertical="center" wrapText="1"/>
    </xf>
    <xf numFmtId="0" fontId="7" fillId="0" borderId="10" xfId="1" applyBorder="1" applyAlignment="1">
      <alignment vertical="center" wrapText="1"/>
    </xf>
    <xf numFmtId="0" fontId="7" fillId="0" borderId="9" xfId="1" applyBorder="1" applyAlignment="1">
      <alignment vertical="center" wrapText="1"/>
    </xf>
    <xf numFmtId="0" fontId="7" fillId="0" borderId="8" xfId="1" applyBorder="1" applyAlignment="1">
      <alignment vertical="center" wrapText="1"/>
    </xf>
    <xf numFmtId="0" fontId="7" fillId="0" borderId="7" xfId="1" applyBorder="1" applyAlignment="1">
      <alignment vertical="center" wrapText="1"/>
    </xf>
    <xf numFmtId="0" fontId="8" fillId="0" borderId="3" xfId="1" applyFont="1" applyBorder="1" applyAlignment="1">
      <alignment horizontal="left" vertical="center"/>
    </xf>
    <xf numFmtId="0" fontId="7" fillId="0" borderId="3" xfId="1" applyBorder="1" applyAlignment="1">
      <alignment horizontal="left" vertical="center" wrapText="1"/>
    </xf>
    <xf numFmtId="0" fontId="7" fillId="0" borderId="6" xfId="1" applyBorder="1" applyAlignment="1">
      <alignment horizontal="left" vertical="center" wrapText="1"/>
    </xf>
    <xf numFmtId="0" fontId="7" fillId="0" borderId="5" xfId="1" applyBorder="1" applyAlignment="1">
      <alignment horizontal="left" vertical="center" wrapText="1"/>
    </xf>
    <xf numFmtId="0" fontId="7" fillId="0" borderId="4" xfId="1" applyBorder="1" applyAlignment="1">
      <alignment horizontal="left" vertical="center" wrapText="1"/>
    </xf>
    <xf numFmtId="0" fontId="29" fillId="13" borderId="3" xfId="1" applyFont="1" applyFill="1" applyBorder="1" applyAlignment="1">
      <alignment horizontal="center"/>
    </xf>
    <xf numFmtId="15" fontId="29" fillId="13" borderId="3" xfId="1" applyNumberFormat="1" applyFont="1" applyFill="1" applyBorder="1" applyAlignment="1">
      <alignment horizontal="center"/>
    </xf>
    <xf numFmtId="0" fontId="24" fillId="12" borderId="3" xfId="1" applyFont="1" applyFill="1" applyBorder="1" applyAlignment="1">
      <alignment horizontal="center" vertical="center" wrapText="1"/>
    </xf>
    <xf numFmtId="0" fontId="17" fillId="0" borderId="16" xfId="7" applyFont="1" applyBorder="1" applyAlignment="1">
      <alignment vertical="center" wrapText="1"/>
    </xf>
    <xf numFmtId="0" fontId="17" fillId="0" borderId="2" xfId="7" applyFont="1" applyBorder="1" applyAlignment="1">
      <alignment vertical="center" wrapText="1"/>
    </xf>
    <xf numFmtId="0" fontId="17" fillId="0" borderId="15" xfId="7" applyFont="1" applyBorder="1" applyAlignment="1">
      <alignment vertical="center" wrapText="1"/>
    </xf>
    <xf numFmtId="0" fontId="15" fillId="0" borderId="16" xfId="7" applyFont="1" applyBorder="1" applyAlignment="1">
      <alignment horizontal="left" vertical="center" wrapText="1"/>
    </xf>
    <xf numFmtId="0" fontId="15" fillId="0" borderId="2" xfId="7" applyFont="1" applyBorder="1" applyAlignment="1">
      <alignment horizontal="left" vertical="center" wrapText="1"/>
    </xf>
    <xf numFmtId="0" fontId="15" fillId="0" borderId="15" xfId="7" applyFont="1" applyBorder="1" applyAlignment="1">
      <alignment horizontal="left" vertical="center" wrapText="1"/>
    </xf>
    <xf numFmtId="0" fontId="6" fillId="19" borderId="14" xfId="7" applyFill="1" applyBorder="1" applyAlignment="1">
      <alignment vertical="center"/>
    </xf>
    <xf numFmtId="0" fontId="6" fillId="19" borderId="9" xfId="7" applyFill="1" applyBorder="1" applyAlignment="1">
      <alignment vertical="center"/>
    </xf>
    <xf numFmtId="0" fontId="2" fillId="19" borderId="27" xfId="7" applyFont="1" applyFill="1" applyBorder="1" applyAlignment="1">
      <alignment horizontal="center" vertical="center" wrapText="1"/>
    </xf>
    <xf numFmtId="0" fontId="2" fillId="19" borderId="26" xfId="7" applyFont="1" applyFill="1" applyBorder="1" applyAlignment="1">
      <alignment horizontal="center" vertical="center" wrapText="1"/>
    </xf>
    <xf numFmtId="0" fontId="2" fillId="19" borderId="25" xfId="7" applyFont="1" applyFill="1" applyBorder="1" applyAlignment="1">
      <alignment horizontal="center" vertical="center" wrapText="1"/>
    </xf>
    <xf numFmtId="0" fontId="6" fillId="19" borderId="26" xfId="7" applyFill="1" applyBorder="1" applyAlignment="1">
      <alignment horizontal="center" vertical="center" wrapText="1"/>
    </xf>
    <xf numFmtId="0" fontId="6" fillId="19" borderId="25" xfId="7" applyFill="1" applyBorder="1" applyAlignment="1">
      <alignment horizontal="center" vertical="center" wrapText="1"/>
    </xf>
    <xf numFmtId="0" fontId="6" fillId="19" borderId="28" xfId="7" applyFill="1" applyBorder="1" applyAlignment="1">
      <alignment vertical="center"/>
    </xf>
    <xf numFmtId="0" fontId="6" fillId="19" borderId="24" xfId="7" applyFill="1" applyBorder="1" applyAlignment="1">
      <alignment vertical="center"/>
    </xf>
    <xf numFmtId="0" fontId="6" fillId="19" borderId="31" xfId="7" applyFill="1" applyBorder="1" applyAlignment="1">
      <alignment vertical="center"/>
    </xf>
    <xf numFmtId="0" fontId="6" fillId="19" borderId="30" xfId="7" applyFill="1" applyBorder="1" applyAlignment="1">
      <alignment vertical="center"/>
    </xf>
    <xf numFmtId="0" fontId="29" fillId="13" borderId="6" xfId="1" applyFont="1" applyFill="1" applyBorder="1" applyAlignment="1">
      <alignment horizontal="center"/>
    </xf>
    <xf numFmtId="0" fontId="29" fillId="13" borderId="5" xfId="1" applyFont="1" applyFill="1" applyBorder="1" applyAlignment="1">
      <alignment horizontal="center"/>
    </xf>
    <xf numFmtId="0" fontId="29" fillId="13" borderId="4" xfId="1" applyFont="1" applyFill="1" applyBorder="1" applyAlignment="1">
      <alignment horizontal="center"/>
    </xf>
    <xf numFmtId="0" fontId="29" fillId="13" borderId="9" xfId="1" applyFont="1" applyFill="1" applyBorder="1" applyAlignment="1">
      <alignment horizontal="center"/>
    </xf>
    <xf numFmtId="0" fontId="29" fillId="13" borderId="7" xfId="1" applyFont="1" applyFill="1" applyBorder="1" applyAlignment="1">
      <alignment horizontal="center"/>
    </xf>
    <xf numFmtId="0" fontId="7" fillId="0" borderId="37" xfId="1" applyBorder="1" applyAlignment="1">
      <alignment horizontal="center"/>
    </xf>
    <xf numFmtId="0" fontId="7" fillId="0" borderId="36" xfId="1" applyBorder="1" applyAlignment="1">
      <alignment horizontal="center"/>
    </xf>
    <xf numFmtId="0" fontId="7" fillId="0" borderId="42" xfId="1" applyBorder="1" applyAlignment="1">
      <alignment horizontal="center"/>
    </xf>
    <xf numFmtId="0" fontId="7" fillId="0" borderId="27" xfId="1" applyBorder="1" applyAlignment="1">
      <alignment horizontal="center"/>
    </xf>
    <xf numFmtId="0" fontId="7" fillId="0" borderId="26" xfId="1" applyBorder="1" applyAlignment="1">
      <alignment horizontal="center"/>
    </xf>
    <xf numFmtId="0" fontId="7" fillId="0" borderId="25" xfId="1" applyBorder="1" applyAlignment="1">
      <alignment horizontal="center"/>
    </xf>
    <xf numFmtId="0" fontId="41" fillId="0" borderId="31" xfId="1" applyFont="1" applyBorder="1" applyAlignment="1">
      <alignment horizontal="center"/>
    </xf>
    <xf numFmtId="0" fontId="41" fillId="0" borderId="45" xfId="1" applyFont="1" applyBorder="1" applyAlignment="1">
      <alignment horizontal="center"/>
    </xf>
    <xf numFmtId="0" fontId="41" fillId="0" borderId="44" xfId="1" applyFont="1" applyBorder="1" applyAlignment="1">
      <alignment horizontal="center"/>
    </xf>
    <xf numFmtId="0" fontId="7" fillId="12" borderId="20" xfId="1" applyFill="1" applyBorder="1" applyAlignment="1">
      <alignment horizontal="center"/>
    </xf>
    <xf numFmtId="0" fontId="7" fillId="12" borderId="47" xfId="1" applyFill="1" applyBorder="1" applyAlignment="1">
      <alignment horizontal="center"/>
    </xf>
    <xf numFmtId="0" fontId="7" fillId="12" borderId="46" xfId="1" applyFill="1" applyBorder="1" applyAlignment="1">
      <alignment horizontal="center"/>
    </xf>
    <xf numFmtId="0" fontId="7" fillId="12" borderId="37" xfId="1" applyFill="1" applyBorder="1" applyAlignment="1">
      <alignment horizontal="center"/>
    </xf>
    <xf numFmtId="0" fontId="7" fillId="12" borderId="36" xfId="1" applyFill="1" applyBorder="1" applyAlignment="1">
      <alignment horizontal="center"/>
    </xf>
    <xf numFmtId="0" fontId="7" fillId="12" borderId="42" xfId="1" applyFill="1" applyBorder="1" applyAlignment="1">
      <alignment horizontal="center"/>
    </xf>
    <xf numFmtId="0" fontId="7" fillId="12" borderId="27" xfId="1" applyFill="1" applyBorder="1" applyAlignment="1">
      <alignment horizontal="center"/>
    </xf>
    <xf numFmtId="0" fontId="7" fillId="12" borderId="26" xfId="1" applyFill="1" applyBorder="1" applyAlignment="1">
      <alignment horizontal="center"/>
    </xf>
    <xf numFmtId="0" fontId="7" fillId="12" borderId="25" xfId="1" applyFill="1" applyBorder="1" applyAlignment="1">
      <alignment horizontal="center"/>
    </xf>
    <xf numFmtId="0" fontId="24" fillId="13" borderId="16"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13" borderId="15" xfId="1" applyFont="1" applyFill="1" applyBorder="1" applyAlignment="1">
      <alignment horizontal="center" vertical="center" wrapText="1"/>
    </xf>
    <xf numFmtId="0" fontId="24" fillId="12" borderId="6" xfId="1" quotePrefix="1" applyFont="1" applyFill="1" applyBorder="1" applyAlignment="1">
      <alignment horizontal="center" vertical="center" wrapText="1"/>
    </xf>
    <xf numFmtId="0" fontId="24" fillId="12" borderId="4" xfId="1" quotePrefix="1" applyFont="1" applyFill="1" applyBorder="1" applyAlignment="1">
      <alignment horizontal="center" vertical="center" wrapText="1"/>
    </xf>
    <xf numFmtId="0" fontId="24" fillId="12" borderId="5" xfId="1" quotePrefix="1" applyFont="1" applyFill="1" applyBorder="1" applyAlignment="1">
      <alignment horizontal="center" vertical="center" wrapText="1"/>
    </xf>
    <xf numFmtId="0" fontId="8" fillId="0" borderId="3" xfId="1" applyFont="1" applyBorder="1" applyAlignment="1">
      <alignment horizontal="center" vertical="center" wrapText="1"/>
    </xf>
  </cellXfs>
  <cellStyles count="288">
    <cellStyle name="=C:\WINNT\SYSTEM32\COMMAND.COM" xfId="2"/>
    <cellStyle name="Comma 2" xfId="3"/>
    <cellStyle name="Comma 3" xfId="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Hyperlink" xfId="287" builtinId="8"/>
    <cellStyle name="Hyperlink 2" xfId="5"/>
    <cellStyle name="Normal" xfId="0" builtinId="0"/>
    <cellStyle name="Normal 2" xfId="1"/>
    <cellStyle name="Normal 2 2" xfId="6"/>
    <cellStyle name="Normal 3" xfId="7"/>
    <cellStyle name="Normal 3 2" xfId="8"/>
    <cellStyle name="Normal 4" xfId="9"/>
    <cellStyle name="Normal 5" xfId="10"/>
    <cellStyle name="Normal_Generation" xfId="11"/>
    <cellStyle name="Percent 2" xfId="12"/>
    <cellStyle name="Percent 3" xfId="13"/>
    <cellStyle name="Percent 4" xfId="14"/>
  </cellStyles>
  <dxfs count="0"/>
  <tableStyles count="0" defaultTableStyle="TableStyleMedium9" defaultPivotStyle="PivotStyleLight16"/>
  <colors>
    <mruColors>
      <color rgb="FFE9E9E9"/>
      <color rgb="FF999999"/>
      <color rgb="FF0066CC"/>
      <color rgb="FFFF6633"/>
      <color rgb="FFFFFFCC"/>
      <color rgb="FFFFCC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142875</xdr:rowOff>
    </xdr:from>
    <xdr:to>
      <xdr:col>1</xdr:col>
      <xdr:colOff>4581525</xdr:colOff>
      <xdr:row>28</xdr:row>
      <xdr:rowOff>85725</xdr:rowOff>
    </xdr:to>
    <xdr:sp macro="" textlink="">
      <xdr:nvSpPr>
        <xdr:cNvPr id="2" name="TextBox 1"/>
        <xdr:cNvSpPr txBox="1">
          <a:spLocks noChangeArrowheads="1"/>
        </xdr:cNvSpPr>
      </xdr:nvSpPr>
      <xdr:spPr bwMode="auto">
        <a:xfrm>
          <a:off x="673100" y="1285875"/>
          <a:ext cx="669925" cy="3143250"/>
        </a:xfrm>
        <a:prstGeom prst="rect">
          <a:avLst/>
        </a:prstGeom>
        <a:solidFill>
          <a:srgbClr val="FFFFFF"/>
        </a:solidFill>
        <a:ln w="9525">
          <a:solidFill>
            <a:srgbClr val="BCBCBC"/>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262486</xdr:colOff>
      <xdr:row>8</xdr:row>
      <xdr:rowOff>0</xdr:rowOff>
    </xdr:from>
    <xdr:ext cx="4284114" cy="969818"/>
    <xdr:sp macro="[0]!RunARP" textlink="">
      <xdr:nvSpPr>
        <xdr:cNvPr id="3" name="Rectangle 25"/>
        <xdr:cNvSpPr>
          <a:spLocks noChangeArrowheads="1"/>
        </xdr:cNvSpPr>
      </xdr:nvSpPr>
      <xdr:spPr bwMode="auto">
        <a:xfrm>
          <a:off x="7552286" y="1866900"/>
          <a:ext cx="4284114" cy="96981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noAutofit/>
        </a:bodyPr>
        <a:lstStyle/>
        <a:p>
          <a:pPr algn="ctr" rtl="0">
            <a:defRPr sz="1000"/>
          </a:pPr>
          <a:endParaRPr lang="en-GB" sz="1000" b="0" i="0" u="none" strike="noStrike" baseline="0">
            <a:solidFill>
              <a:srgbClr val="000000"/>
            </a:solidFill>
            <a:latin typeface="Arial"/>
            <a:cs typeface="Arial"/>
          </a:endParaRPr>
        </a:p>
        <a:p>
          <a:pPr algn="ctr" rtl="0">
            <a:defRPr sz="1000"/>
          </a:pPr>
          <a:r>
            <a:rPr lang="en-GB" sz="2000" b="0" i="0" u="none" strike="noStrike" baseline="0">
              <a:solidFill>
                <a:srgbClr val="000000"/>
              </a:solidFill>
              <a:latin typeface="Arial"/>
              <a:cs typeface="Arial"/>
            </a:rPr>
            <a:t>Press to update</a:t>
          </a:r>
        </a:p>
        <a:p>
          <a:pPr algn="ctr" rtl="0">
            <a:defRPr sz="1000"/>
          </a:pPr>
          <a:r>
            <a:rPr lang="en-GB" sz="2000" b="0" i="0" u="none" strike="noStrike" baseline="0">
              <a:solidFill>
                <a:srgbClr val="000000"/>
              </a:solidFill>
              <a:latin typeface="Arial"/>
              <a:cs typeface="Arial"/>
            </a:rPr>
            <a:t>Tariffs and "Typical Bills"</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DCM%20AR%20Pack%20v4%20r09Nov10%20with%20tariff%20update%20E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mmentary"/>
      <sheetName val="CDCM Forecast Data"/>
      <sheetName val="Mat of App"/>
      <sheetName val="CDCM Volume Forecasts"/>
      <sheetName val="CDCM Timebands"/>
      <sheetName val="(Y)"/>
      <sheetName val="(Y+1)"/>
      <sheetName val="(Y+2)"/>
      <sheetName val="(Y+3)"/>
      <sheetName val="(Y+4)"/>
      <sheetName val="Tariffs"/>
      <sheetName val="DNO Checklist"/>
      <sheetName val="Vlookup"/>
      <sheetName val="Application Refs"/>
    </sheetNames>
    <sheetDataSet>
      <sheetData sheetId="0"/>
      <sheetData sheetId="1"/>
      <sheetData sheetId="2"/>
      <sheetData sheetId="3"/>
      <sheetData sheetId="4"/>
      <sheetData sheetId="5"/>
      <sheetData sheetId="6"/>
      <sheetData sheetId="7"/>
      <sheetData sheetId="8"/>
      <sheetData sheetId="9"/>
      <sheetData sheetId="10"/>
      <sheetData sheetId="11">
        <row r="21">
          <cell r="D21" t="str">
            <v>011, 041, 441, 511</v>
          </cell>
          <cell r="E21">
            <v>1</v>
          </cell>
          <cell r="L21">
            <v>541</v>
          </cell>
        </row>
        <row r="22">
          <cell r="D22" t="str">
            <v xml:space="preserve">031, 051, 061, 451, 531 </v>
          </cell>
          <cell r="E22">
            <v>2</v>
          </cell>
          <cell r="L22" t="str">
            <v>421, 501, 551, 561, 621, 651</v>
          </cell>
        </row>
        <row r="23">
          <cell r="D23" t="str">
            <v>081, 581</v>
          </cell>
          <cell r="E23">
            <v>2</v>
          </cell>
          <cell r="L23" t="str">
            <v>071, 101, 111, 571, 601, 611</v>
          </cell>
        </row>
        <row r="24">
          <cell r="D24" t="str">
            <v>131, 191, 631</v>
          </cell>
          <cell r="E24">
            <v>3</v>
          </cell>
          <cell r="L24">
            <v>691</v>
          </cell>
        </row>
        <row r="25">
          <cell r="D25" t="str">
            <v>161, 171, 661</v>
          </cell>
          <cell r="E25">
            <v>4</v>
          </cell>
          <cell r="L25" t="str">
            <v>181, 671, 681</v>
          </cell>
        </row>
        <row r="26">
          <cell r="D26" t="str">
            <v>091, 591</v>
          </cell>
          <cell r="E26">
            <v>4</v>
          </cell>
          <cell r="L26" t="str">
            <v>071, 101,111, 571, 601, 611</v>
          </cell>
        </row>
        <row r="27">
          <cell r="D27" t="str">
            <v>241, 431, 481, 751</v>
          </cell>
          <cell r="E27" t="str">
            <v>5-8</v>
          </cell>
          <cell r="L27" t="str">
            <v>201, 211, 221, 231, 431, 701, 711</v>
          </cell>
        </row>
        <row r="28">
          <cell r="D28" t="str">
            <v>242, 432, 482, 752</v>
          </cell>
          <cell r="E28" t="str">
            <v>5-8</v>
          </cell>
          <cell r="L28" t="str">
            <v>202, 212, 222, 432, 702, 712</v>
          </cell>
        </row>
        <row r="29">
          <cell r="D29" t="str">
            <v>483, 753</v>
          </cell>
          <cell r="E29" t="str">
            <v>5-8</v>
          </cell>
          <cell r="L29" t="str">
            <v>203, 213, 223, 703, 713</v>
          </cell>
        </row>
        <row r="30">
          <cell r="D30">
            <v>801</v>
          </cell>
          <cell r="E30">
            <v>0</v>
          </cell>
          <cell r="L30">
            <v>251271401</v>
          </cell>
        </row>
        <row r="31">
          <cell r="D31">
            <v>802</v>
          </cell>
          <cell r="E31">
            <v>0</v>
          </cell>
          <cell r="L31">
            <v>252272402</v>
          </cell>
        </row>
        <row r="32">
          <cell r="D32">
            <v>803</v>
          </cell>
          <cell r="E32">
            <v>0</v>
          </cell>
          <cell r="L32" t="str">
            <v>253, 413</v>
          </cell>
        </row>
        <row r="33">
          <cell r="D33">
            <v>804</v>
          </cell>
          <cell r="E33">
            <v>0</v>
          </cell>
          <cell r="L33" t="str">
            <v>384, 404</v>
          </cell>
        </row>
        <row r="34">
          <cell r="D34">
            <v>721</v>
          </cell>
          <cell r="E34" t="str">
            <v>1&amp;8</v>
          </cell>
          <cell r="L34">
            <v>341351371381</v>
          </cell>
        </row>
        <row r="35">
          <cell r="D35">
            <v>811</v>
          </cell>
          <cell r="E35">
            <v>0</v>
          </cell>
          <cell r="L35">
            <v>351</v>
          </cell>
        </row>
        <row r="36">
          <cell r="D36">
            <v>961</v>
          </cell>
          <cell r="E36">
            <v>8</v>
          </cell>
          <cell r="L36">
            <v>911921931941</v>
          </cell>
        </row>
        <row r="37">
          <cell r="D37">
            <v>962</v>
          </cell>
          <cell r="E37">
            <v>8</v>
          </cell>
          <cell r="L37">
            <v>0</v>
          </cell>
        </row>
        <row r="38">
          <cell r="D38">
            <v>971</v>
          </cell>
          <cell r="E38">
            <v>0</v>
          </cell>
          <cell r="L38">
            <v>0</v>
          </cell>
        </row>
        <row r="39">
          <cell r="D39">
            <v>981</v>
          </cell>
          <cell r="E39">
            <v>0</v>
          </cell>
          <cell r="L39">
            <v>0</v>
          </cell>
        </row>
        <row r="40">
          <cell r="D40">
            <v>972</v>
          </cell>
          <cell r="E40">
            <v>0</v>
          </cell>
          <cell r="L40">
            <v>0</v>
          </cell>
        </row>
        <row r="41">
          <cell r="D41">
            <v>982</v>
          </cell>
          <cell r="E41">
            <v>0</v>
          </cell>
          <cell r="L41">
            <v>0</v>
          </cell>
        </row>
        <row r="42">
          <cell r="D42">
            <v>973</v>
          </cell>
          <cell r="E42">
            <v>0</v>
          </cell>
          <cell r="L42">
            <v>0</v>
          </cell>
        </row>
        <row r="43">
          <cell r="D43">
            <v>983</v>
          </cell>
          <cell r="E43">
            <v>0</v>
          </cell>
          <cell r="L43">
            <v>0</v>
          </cell>
        </row>
        <row r="44">
          <cell r="D44">
            <v>984</v>
          </cell>
          <cell r="E44">
            <v>0</v>
          </cell>
          <cell r="L44">
            <v>0</v>
          </cell>
        </row>
        <row r="45">
          <cell r="D45">
            <v>974</v>
          </cell>
          <cell r="E45">
            <v>0</v>
          </cell>
          <cell r="L45">
            <v>0</v>
          </cell>
        </row>
        <row r="46">
          <cell r="E46">
            <v>1</v>
          </cell>
          <cell r="L46">
            <v>0</v>
          </cell>
        </row>
        <row r="47">
          <cell r="E47">
            <v>2</v>
          </cell>
          <cell r="L47">
            <v>0</v>
          </cell>
        </row>
        <row r="48">
          <cell r="E48">
            <v>2</v>
          </cell>
          <cell r="L48">
            <v>0</v>
          </cell>
        </row>
        <row r="49">
          <cell r="E49">
            <v>3</v>
          </cell>
          <cell r="L49">
            <v>0</v>
          </cell>
        </row>
        <row r="50">
          <cell r="E50">
            <v>4</v>
          </cell>
          <cell r="L50">
            <v>0</v>
          </cell>
        </row>
        <row r="51">
          <cell r="E51">
            <v>4</v>
          </cell>
          <cell r="L51">
            <v>0</v>
          </cell>
        </row>
        <row r="52">
          <cell r="E52" t="str">
            <v>5-8</v>
          </cell>
          <cell r="L52">
            <v>0</v>
          </cell>
        </row>
        <row r="53">
          <cell r="E53">
            <v>0</v>
          </cell>
          <cell r="L53">
            <v>0</v>
          </cell>
        </row>
        <row r="54">
          <cell r="E54" t="str">
            <v>1&amp;8</v>
          </cell>
          <cell r="L54">
            <v>0</v>
          </cell>
        </row>
        <row r="55">
          <cell r="E55">
            <v>0</v>
          </cell>
          <cell r="L55">
            <v>0</v>
          </cell>
        </row>
        <row r="56">
          <cell r="E56">
            <v>8</v>
          </cell>
          <cell r="L56">
            <v>0</v>
          </cell>
        </row>
        <row r="57">
          <cell r="E57">
            <v>0</v>
          </cell>
          <cell r="L57">
            <v>0</v>
          </cell>
        </row>
        <row r="58">
          <cell r="E58">
            <v>0</v>
          </cell>
          <cell r="L58">
            <v>0</v>
          </cell>
        </row>
        <row r="59">
          <cell r="E59">
            <v>1</v>
          </cell>
          <cell r="L59">
            <v>0</v>
          </cell>
        </row>
        <row r="60">
          <cell r="E60">
            <v>2</v>
          </cell>
          <cell r="L60">
            <v>0</v>
          </cell>
        </row>
        <row r="61">
          <cell r="E61">
            <v>2</v>
          </cell>
          <cell r="L61">
            <v>0</v>
          </cell>
        </row>
        <row r="62">
          <cell r="E62">
            <v>3</v>
          </cell>
          <cell r="L62">
            <v>0</v>
          </cell>
        </row>
        <row r="63">
          <cell r="E63">
            <v>4</v>
          </cell>
          <cell r="L63">
            <v>0</v>
          </cell>
        </row>
        <row r="64">
          <cell r="E64">
            <v>4</v>
          </cell>
          <cell r="L64">
            <v>0</v>
          </cell>
        </row>
        <row r="65">
          <cell r="E65" t="str">
            <v>5-8</v>
          </cell>
          <cell r="L65">
            <v>0</v>
          </cell>
        </row>
        <row r="66">
          <cell r="E66">
            <v>0</v>
          </cell>
          <cell r="L66">
            <v>0</v>
          </cell>
        </row>
        <row r="67">
          <cell r="E67">
            <v>0</v>
          </cell>
          <cell r="L67">
            <v>0</v>
          </cell>
        </row>
        <row r="68">
          <cell r="E68">
            <v>0</v>
          </cell>
          <cell r="L68">
            <v>0</v>
          </cell>
        </row>
        <row r="69">
          <cell r="E69" t="str">
            <v>1&amp;8</v>
          </cell>
          <cell r="L69">
            <v>0</v>
          </cell>
        </row>
        <row r="70">
          <cell r="E70">
            <v>0</v>
          </cell>
          <cell r="L70">
            <v>0</v>
          </cell>
        </row>
        <row r="71">
          <cell r="E71">
            <v>8</v>
          </cell>
          <cell r="L71">
            <v>0</v>
          </cell>
        </row>
        <row r="72">
          <cell r="E72">
            <v>8</v>
          </cell>
          <cell r="L72">
            <v>0</v>
          </cell>
        </row>
        <row r="73">
          <cell r="E73">
            <v>0</v>
          </cell>
          <cell r="L73">
            <v>0</v>
          </cell>
        </row>
        <row r="74">
          <cell r="E74">
            <v>0</v>
          </cell>
          <cell r="L74">
            <v>0</v>
          </cell>
        </row>
        <row r="75">
          <cell r="E75">
            <v>0</v>
          </cell>
          <cell r="L75">
            <v>0</v>
          </cell>
        </row>
        <row r="76">
          <cell r="E76">
            <v>0</v>
          </cell>
          <cell r="L76">
            <v>0</v>
          </cell>
        </row>
        <row r="77">
          <cell r="E77">
            <v>0</v>
          </cell>
          <cell r="L77">
            <v>0</v>
          </cell>
        </row>
        <row r="78">
          <cell r="E78">
            <v>0</v>
          </cell>
          <cell r="L78">
            <v>0</v>
          </cell>
        </row>
        <row r="88">
          <cell r="D88" t="str">
            <v>011, 041, 441, 511</v>
          </cell>
          <cell r="E88">
            <v>1</v>
          </cell>
          <cell r="L88">
            <v>541</v>
          </cell>
        </row>
        <row r="89">
          <cell r="D89" t="str">
            <v xml:space="preserve">031, 051, 061, 451, 531 </v>
          </cell>
          <cell r="E89">
            <v>2</v>
          </cell>
          <cell r="L89" t="str">
            <v>421, 501, 551, 561, 621, 651</v>
          </cell>
        </row>
        <row r="90">
          <cell r="D90" t="str">
            <v>081, 581</v>
          </cell>
          <cell r="E90">
            <v>2</v>
          </cell>
          <cell r="L90" t="str">
            <v>071, 101, 111, 571, 601, 611</v>
          </cell>
        </row>
        <row r="91">
          <cell r="D91" t="str">
            <v>131, 191, 631</v>
          </cell>
          <cell r="E91">
            <v>3</v>
          </cell>
          <cell r="L91">
            <v>691</v>
          </cell>
        </row>
        <row r="92">
          <cell r="D92" t="str">
            <v>161, 171, 661</v>
          </cell>
          <cell r="E92">
            <v>4</v>
          </cell>
          <cell r="L92" t="str">
            <v>181, 671, 681</v>
          </cell>
        </row>
        <row r="93">
          <cell r="D93" t="str">
            <v>091, 591</v>
          </cell>
          <cell r="E93">
            <v>4</v>
          </cell>
          <cell r="L93" t="str">
            <v>071, 101,111, 571, 601, 611</v>
          </cell>
        </row>
        <row r="94">
          <cell r="D94" t="str">
            <v>241, 431, 481, 751</v>
          </cell>
          <cell r="E94" t="str">
            <v>5-8</v>
          </cell>
          <cell r="L94" t="str">
            <v>201, 211, 221, 231, 431, 701, 711</v>
          </cell>
        </row>
        <row r="95">
          <cell r="D95" t="str">
            <v>242, 432, 482, 752</v>
          </cell>
          <cell r="E95" t="str">
            <v>5-8</v>
          </cell>
          <cell r="L95" t="str">
            <v>202, 212, 222, 432, 702, 712</v>
          </cell>
        </row>
        <row r="96">
          <cell r="D96" t="str">
            <v>483, 753</v>
          </cell>
          <cell r="E96" t="str">
            <v>5-8</v>
          </cell>
          <cell r="L96" t="str">
            <v>203, 213, 223, 703, 713</v>
          </cell>
        </row>
        <row r="97">
          <cell r="D97">
            <v>801</v>
          </cell>
          <cell r="E97">
            <v>0</v>
          </cell>
          <cell r="L97">
            <v>251271401</v>
          </cell>
        </row>
        <row r="98">
          <cell r="D98">
            <v>802</v>
          </cell>
          <cell r="E98">
            <v>0</v>
          </cell>
          <cell r="L98">
            <v>252272402</v>
          </cell>
        </row>
        <row r="99">
          <cell r="D99">
            <v>803</v>
          </cell>
          <cell r="E99">
            <v>0</v>
          </cell>
          <cell r="L99" t="str">
            <v>253, 413</v>
          </cell>
        </row>
        <row r="100">
          <cell r="D100">
            <v>804</v>
          </cell>
          <cell r="E100">
            <v>0</v>
          </cell>
          <cell r="L100" t="str">
            <v>384, 404</v>
          </cell>
        </row>
        <row r="101">
          <cell r="D101">
            <v>721</v>
          </cell>
          <cell r="E101" t="str">
            <v>1&amp;8</v>
          </cell>
          <cell r="L101">
            <v>341351371381</v>
          </cell>
        </row>
        <row r="102">
          <cell r="D102">
            <v>811</v>
          </cell>
          <cell r="E102">
            <v>0</v>
          </cell>
          <cell r="L102">
            <v>351</v>
          </cell>
        </row>
        <row r="103">
          <cell r="D103">
            <v>961</v>
          </cell>
          <cell r="E103">
            <v>8</v>
          </cell>
          <cell r="L103">
            <v>911921931941</v>
          </cell>
        </row>
        <row r="104">
          <cell r="D104">
            <v>962</v>
          </cell>
          <cell r="E104">
            <v>8</v>
          </cell>
          <cell r="L104">
            <v>0</v>
          </cell>
        </row>
        <row r="105">
          <cell r="D105">
            <v>971</v>
          </cell>
          <cell r="E105">
            <v>0</v>
          </cell>
          <cell r="L105">
            <v>0</v>
          </cell>
        </row>
        <row r="106">
          <cell r="D106">
            <v>981</v>
          </cell>
          <cell r="E106">
            <v>0</v>
          </cell>
          <cell r="L106">
            <v>0</v>
          </cell>
        </row>
        <row r="107">
          <cell r="D107">
            <v>972</v>
          </cell>
          <cell r="E107">
            <v>0</v>
          </cell>
          <cell r="L107">
            <v>0</v>
          </cell>
        </row>
        <row r="108">
          <cell r="D108">
            <v>982</v>
          </cell>
          <cell r="E108">
            <v>0</v>
          </cell>
          <cell r="L108">
            <v>0</v>
          </cell>
        </row>
        <row r="109">
          <cell r="D109">
            <v>973</v>
          </cell>
          <cell r="E109">
            <v>0</v>
          </cell>
          <cell r="L109">
            <v>0</v>
          </cell>
        </row>
        <row r="110">
          <cell r="D110">
            <v>983</v>
          </cell>
          <cell r="E110">
            <v>0</v>
          </cell>
          <cell r="L110">
            <v>0</v>
          </cell>
        </row>
        <row r="111">
          <cell r="D111">
            <v>984</v>
          </cell>
          <cell r="E111">
            <v>0</v>
          </cell>
          <cell r="L111">
            <v>0</v>
          </cell>
        </row>
        <row r="112">
          <cell r="D112">
            <v>974</v>
          </cell>
          <cell r="E112">
            <v>0</v>
          </cell>
          <cell r="L112">
            <v>0</v>
          </cell>
        </row>
        <row r="113">
          <cell r="D113">
            <v>0</v>
          </cell>
          <cell r="E113">
            <v>1</v>
          </cell>
          <cell r="L113">
            <v>0</v>
          </cell>
        </row>
        <row r="114">
          <cell r="D114">
            <v>0</v>
          </cell>
          <cell r="E114">
            <v>2</v>
          </cell>
          <cell r="L114">
            <v>0</v>
          </cell>
        </row>
        <row r="115">
          <cell r="D115">
            <v>0</v>
          </cell>
          <cell r="E115">
            <v>2</v>
          </cell>
          <cell r="L115">
            <v>0</v>
          </cell>
        </row>
        <row r="116">
          <cell r="D116">
            <v>0</v>
          </cell>
          <cell r="E116">
            <v>3</v>
          </cell>
          <cell r="L116">
            <v>0</v>
          </cell>
        </row>
        <row r="117">
          <cell r="D117">
            <v>0</v>
          </cell>
          <cell r="E117">
            <v>4</v>
          </cell>
          <cell r="L117">
            <v>0</v>
          </cell>
        </row>
        <row r="118">
          <cell r="D118">
            <v>0</v>
          </cell>
          <cell r="E118">
            <v>4</v>
          </cell>
          <cell r="L118">
            <v>0</v>
          </cell>
        </row>
        <row r="119">
          <cell r="D119">
            <v>0</v>
          </cell>
          <cell r="E119" t="str">
            <v>5-8</v>
          </cell>
          <cell r="L119">
            <v>0</v>
          </cell>
        </row>
        <row r="120">
          <cell r="D120">
            <v>0</v>
          </cell>
          <cell r="E120">
            <v>0</v>
          </cell>
          <cell r="L120">
            <v>0</v>
          </cell>
        </row>
        <row r="121">
          <cell r="D121">
            <v>0</v>
          </cell>
          <cell r="E121" t="str">
            <v>1&amp;8</v>
          </cell>
          <cell r="L121">
            <v>0</v>
          </cell>
        </row>
        <row r="122">
          <cell r="D122">
            <v>0</v>
          </cell>
          <cell r="E122">
            <v>0</v>
          </cell>
          <cell r="L122">
            <v>0</v>
          </cell>
        </row>
        <row r="123">
          <cell r="D123">
            <v>0</v>
          </cell>
          <cell r="E123">
            <v>8</v>
          </cell>
          <cell r="L123">
            <v>0</v>
          </cell>
        </row>
        <row r="124">
          <cell r="D124">
            <v>0</v>
          </cell>
          <cell r="E124">
            <v>0</v>
          </cell>
          <cell r="L124">
            <v>0</v>
          </cell>
        </row>
        <row r="125">
          <cell r="D125">
            <v>0</v>
          </cell>
          <cell r="E125">
            <v>0</v>
          </cell>
          <cell r="L125">
            <v>0</v>
          </cell>
        </row>
        <row r="126">
          <cell r="D126">
            <v>0</v>
          </cell>
          <cell r="E126">
            <v>1</v>
          </cell>
          <cell r="L126">
            <v>0</v>
          </cell>
        </row>
        <row r="127">
          <cell r="D127">
            <v>0</v>
          </cell>
          <cell r="E127">
            <v>2</v>
          </cell>
          <cell r="L127">
            <v>0</v>
          </cell>
        </row>
        <row r="128">
          <cell r="D128">
            <v>0</v>
          </cell>
          <cell r="E128">
            <v>2</v>
          </cell>
          <cell r="L128">
            <v>0</v>
          </cell>
        </row>
        <row r="129">
          <cell r="D129">
            <v>0</v>
          </cell>
          <cell r="E129">
            <v>3</v>
          </cell>
          <cell r="L129">
            <v>0</v>
          </cell>
        </row>
        <row r="130">
          <cell r="D130">
            <v>0</v>
          </cell>
          <cell r="E130">
            <v>4</v>
          </cell>
          <cell r="L130">
            <v>0</v>
          </cell>
        </row>
        <row r="131">
          <cell r="D131">
            <v>0</v>
          </cell>
          <cell r="E131">
            <v>4</v>
          </cell>
          <cell r="L131">
            <v>0</v>
          </cell>
        </row>
        <row r="132">
          <cell r="D132">
            <v>0</v>
          </cell>
          <cell r="E132" t="str">
            <v>5-8</v>
          </cell>
          <cell r="L132">
            <v>0</v>
          </cell>
        </row>
        <row r="133">
          <cell r="D133">
            <v>0</v>
          </cell>
          <cell r="E133">
            <v>0</v>
          </cell>
          <cell r="L133">
            <v>0</v>
          </cell>
        </row>
        <row r="134">
          <cell r="D134">
            <v>0</v>
          </cell>
          <cell r="E134">
            <v>0</v>
          </cell>
          <cell r="L134">
            <v>0</v>
          </cell>
        </row>
        <row r="135">
          <cell r="D135">
            <v>0</v>
          </cell>
          <cell r="E135">
            <v>0</v>
          </cell>
          <cell r="L135">
            <v>0</v>
          </cell>
        </row>
        <row r="136">
          <cell r="D136">
            <v>0</v>
          </cell>
          <cell r="E136" t="str">
            <v>1&amp;8</v>
          </cell>
          <cell r="L136">
            <v>0</v>
          </cell>
        </row>
        <row r="137">
          <cell r="D137">
            <v>0</v>
          </cell>
          <cell r="E137">
            <v>0</v>
          </cell>
          <cell r="L137">
            <v>0</v>
          </cell>
        </row>
        <row r="138">
          <cell r="D138">
            <v>0</v>
          </cell>
          <cell r="E138">
            <v>8</v>
          </cell>
          <cell r="L138">
            <v>0</v>
          </cell>
        </row>
        <row r="139">
          <cell r="D139">
            <v>0</v>
          </cell>
          <cell r="E139">
            <v>8</v>
          </cell>
          <cell r="L139">
            <v>0</v>
          </cell>
        </row>
        <row r="140">
          <cell r="D140">
            <v>0</v>
          </cell>
          <cell r="E140">
            <v>0</v>
          </cell>
          <cell r="L140">
            <v>0</v>
          </cell>
        </row>
        <row r="141">
          <cell r="D141">
            <v>0</v>
          </cell>
          <cell r="E141">
            <v>0</v>
          </cell>
          <cell r="L141">
            <v>0</v>
          </cell>
        </row>
        <row r="142">
          <cell r="D142">
            <v>0</v>
          </cell>
          <cell r="E142">
            <v>0</v>
          </cell>
          <cell r="L142">
            <v>0</v>
          </cell>
        </row>
        <row r="143">
          <cell r="D143">
            <v>0</v>
          </cell>
          <cell r="E143">
            <v>0</v>
          </cell>
          <cell r="L143">
            <v>0</v>
          </cell>
        </row>
        <row r="144">
          <cell r="D144">
            <v>0</v>
          </cell>
          <cell r="E144">
            <v>0</v>
          </cell>
          <cell r="L144">
            <v>0</v>
          </cell>
        </row>
        <row r="145">
          <cell r="D145">
            <v>0</v>
          </cell>
          <cell r="E145">
            <v>0</v>
          </cell>
          <cell r="L145">
            <v>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2:D32"/>
  <sheetViews>
    <sheetView showGridLines="0" workbookViewId="0"/>
  </sheetViews>
  <sheetFormatPr defaultColWidth="8.85546875" defaultRowHeight="12.75"/>
  <cols>
    <col min="1" max="1" width="33.42578125" style="33" customWidth="1"/>
    <col min="2" max="2" width="22.85546875" style="34" customWidth="1"/>
    <col min="3" max="3" width="8.85546875" style="33"/>
    <col min="4" max="4" width="68.140625" style="33" customWidth="1"/>
    <col min="5" max="16384" width="8.85546875" style="33"/>
  </cols>
  <sheetData>
    <row r="2" spans="1:4" ht="23.25">
      <c r="A2" s="42" t="s">
        <v>1849</v>
      </c>
    </row>
    <row r="4" spans="1:4">
      <c r="A4" s="33" t="s">
        <v>1382</v>
      </c>
      <c r="B4" s="41" t="str">
        <f>'CDCM Forecast Data'!E3</f>
        <v>WPD South Wales</v>
      </c>
    </row>
    <row r="5" spans="1:4">
      <c r="A5" s="33" t="s">
        <v>1381</v>
      </c>
      <c r="B5" s="40">
        <f>'CDCM Forecast Data'!E4</f>
        <v>42004</v>
      </c>
    </row>
    <row r="7" spans="1:4">
      <c r="A7" s="302" t="str">
        <f xml:space="preserve"> "Although every effort has been made to ensure the accuracy of the information provided in this annual review pack, " &amp; 'CDCM Forecast Data'!E3 &amp; " does not accept any liability for the accuracy of the information contained herein and, in particular, " &amp; 'CDCM Forecast Data'!E3 &amp; " or any of its employees, shall not be held liable for any misstatement or opinion on which the recipient of this statement relies or seeks to rely."</f>
        <v>Although every effort has been made to ensure the accuracy of the information provided in this annual review pack, WPD South Wales does not accept any liability for the accuracy of the information contained herein and, in particular, WPD South Wales or any of its employees, shall not be held liable for any misstatement or opinion on which the recipient of this statement relies or seeks to rely.</v>
      </c>
      <c r="B7" s="303"/>
      <c r="C7" s="303"/>
      <c r="D7" s="304"/>
    </row>
    <row r="8" spans="1:4">
      <c r="A8" s="305"/>
      <c r="B8" s="306"/>
      <c r="C8" s="306"/>
      <c r="D8" s="307"/>
    </row>
    <row r="9" spans="1:4">
      <c r="A9" s="305"/>
      <c r="B9" s="306"/>
      <c r="C9" s="306"/>
      <c r="D9" s="307"/>
    </row>
    <row r="10" spans="1:4">
      <c r="A10" s="308"/>
      <c r="B10" s="309"/>
      <c r="C10" s="309"/>
      <c r="D10" s="310"/>
    </row>
    <row r="12" spans="1:4">
      <c r="A12" s="39" t="s">
        <v>1380</v>
      </c>
    </row>
    <row r="13" spans="1:4">
      <c r="A13" s="39"/>
    </row>
    <row r="14" spans="1:4">
      <c r="A14" s="38" t="s">
        <v>1379</v>
      </c>
      <c r="B14" s="311" t="s">
        <v>1378</v>
      </c>
      <c r="C14" s="311"/>
      <c r="D14" s="311"/>
    </row>
    <row r="15" spans="1:4" ht="29.25" customHeight="1">
      <c r="A15" s="36" t="s">
        <v>1377</v>
      </c>
      <c r="B15" s="312" t="s">
        <v>1376</v>
      </c>
      <c r="C15" s="312"/>
      <c r="D15" s="312"/>
    </row>
    <row r="16" spans="1:4" ht="75.75" customHeight="1">
      <c r="A16" s="36" t="s">
        <v>1375</v>
      </c>
      <c r="B16" s="312" t="s">
        <v>1374</v>
      </c>
      <c r="C16" s="312"/>
      <c r="D16" s="312"/>
    </row>
    <row r="17" spans="1:4" ht="29.25" customHeight="1">
      <c r="A17" s="36" t="s">
        <v>1552</v>
      </c>
      <c r="B17" s="312" t="s">
        <v>1553</v>
      </c>
      <c r="C17" s="312"/>
      <c r="D17" s="312"/>
    </row>
    <row r="18" spans="1:4" ht="36" customHeight="1">
      <c r="A18" s="36" t="s">
        <v>1373</v>
      </c>
      <c r="B18" s="313" t="s">
        <v>1372</v>
      </c>
      <c r="C18" s="314"/>
      <c r="D18" s="315"/>
    </row>
    <row r="19" spans="1:4" ht="36" customHeight="1">
      <c r="A19" s="36" t="s">
        <v>1371</v>
      </c>
      <c r="B19" s="313" t="s">
        <v>1370</v>
      </c>
      <c r="C19" s="314"/>
      <c r="D19" s="315"/>
    </row>
    <row r="20" spans="1:4" ht="29.25" customHeight="1">
      <c r="A20" s="37" t="s">
        <v>1369</v>
      </c>
      <c r="B20" s="312" t="s">
        <v>1368</v>
      </c>
      <c r="C20" s="312"/>
      <c r="D20" s="312"/>
    </row>
    <row r="21" spans="1:4" ht="41.25" customHeight="1">
      <c r="A21" s="36" t="s">
        <v>1367</v>
      </c>
      <c r="B21" s="312" t="s">
        <v>1366</v>
      </c>
      <c r="C21" s="312"/>
      <c r="D21" s="312"/>
    </row>
    <row r="22" spans="1:4" ht="41.25" customHeight="1">
      <c r="A22" s="36" t="s">
        <v>1365</v>
      </c>
      <c r="B22" s="312" t="s">
        <v>1364</v>
      </c>
      <c r="C22" s="312"/>
      <c r="D22" s="312"/>
    </row>
    <row r="23" spans="1:4" ht="41.25" customHeight="1">
      <c r="A23" s="36" t="s">
        <v>1363</v>
      </c>
      <c r="B23" s="312" t="s">
        <v>1362</v>
      </c>
      <c r="C23" s="312"/>
      <c r="D23" s="312"/>
    </row>
    <row r="24" spans="1:4" ht="41.25" customHeight="1">
      <c r="A24" s="36" t="s">
        <v>1361</v>
      </c>
      <c r="B24" s="312" t="s">
        <v>1360</v>
      </c>
      <c r="C24" s="312"/>
      <c r="D24" s="312"/>
    </row>
    <row r="25" spans="1:4" ht="41.25" customHeight="1">
      <c r="A25" s="36" t="s">
        <v>1359</v>
      </c>
      <c r="B25" s="312" t="s">
        <v>1358</v>
      </c>
      <c r="C25" s="312"/>
      <c r="D25" s="312"/>
    </row>
    <row r="26" spans="1:4" ht="41.25" customHeight="1">
      <c r="A26" s="35" t="s">
        <v>1357</v>
      </c>
      <c r="B26" s="312" t="s">
        <v>1356</v>
      </c>
      <c r="C26" s="312"/>
      <c r="D26" s="312"/>
    </row>
    <row r="29" spans="1:4" ht="15">
      <c r="A29" s="2" t="s">
        <v>1327</v>
      </c>
    </row>
    <row r="30" spans="1:4" ht="15">
      <c r="A30" s="2" t="s">
        <v>1328</v>
      </c>
    </row>
    <row r="31" spans="1:4" ht="15">
      <c r="A31" s="2" t="s">
        <v>1329</v>
      </c>
    </row>
    <row r="32" spans="1:4" ht="15">
      <c r="A32" s="2" t="s">
        <v>1330</v>
      </c>
    </row>
  </sheetData>
  <mergeCells count="14">
    <mergeCell ref="B19:D19"/>
    <mergeCell ref="B26:D26"/>
    <mergeCell ref="B20:D20"/>
    <mergeCell ref="B21:D21"/>
    <mergeCell ref="B22:D22"/>
    <mergeCell ref="B23:D23"/>
    <mergeCell ref="B24:D24"/>
    <mergeCell ref="B25:D25"/>
    <mergeCell ref="A7:D10"/>
    <mergeCell ref="B14:D14"/>
    <mergeCell ref="B15:D15"/>
    <mergeCell ref="B16:D16"/>
    <mergeCell ref="B18:D18"/>
    <mergeCell ref="B17:D17"/>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dimension ref="A1:K332"/>
  <sheetViews>
    <sheetView showGridLines="0" workbookViewId="0">
      <selection activeCell="A4" sqref="A4:K332"/>
    </sheetView>
  </sheetViews>
  <sheetFormatPr defaultColWidth="8.85546875" defaultRowHeight="12.75"/>
  <cols>
    <col min="1" max="1" width="50.7109375" style="43" customWidth="1"/>
    <col min="2" max="251" width="20.7109375" style="43" customWidth="1"/>
    <col min="252" max="16384" width="8.85546875" style="43"/>
  </cols>
  <sheetData>
    <row r="1" spans="1:11" ht="19.5">
      <c r="A1" s="1" t="s">
        <v>1555</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11" t="s">
        <v>4</v>
      </c>
      <c r="B7" s="13">
        <f>VLOOKUP(Vlookup!B7,'CDCM Forecast Data'!$A$14:$I$271,6,FALSE)</f>
        <v>0</v>
      </c>
      <c r="C7" s="13">
        <f>VLOOKUP(Vlookup!C7,'CDCM Forecast Data'!$A$14:$I$271,6,FALSE)</f>
        <v>0</v>
      </c>
      <c r="D7" s="13">
        <f>VLOOKUP(Vlookup!D7,'CDCM Forecast Data'!$A$14:$I$271,6,FALSE)</f>
        <v>0</v>
      </c>
      <c r="E7" s="10"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1471</v>
      </c>
      <c r="G13"/>
      <c r="H13"/>
      <c r="I13"/>
      <c r="J13"/>
      <c r="K13"/>
    </row>
    <row r="14" spans="1:11" ht="15">
      <c r="A14" s="11" t="s">
        <v>52</v>
      </c>
      <c r="B14" s="16">
        <f>VLOOKUP(Vlookup!B14,'CDCM Forecast Data'!$A$14:$I$271,6,FALSE)</f>
        <v>5.6000000000000001E-2</v>
      </c>
      <c r="C14" s="14">
        <f>VLOOKUP(Vlookup!C14,'CDCM Forecast Data'!$A$14:$I$271,6,FALSE)</f>
        <v>40</v>
      </c>
      <c r="D14" s="5"/>
      <c r="E14" s="4">
        <f>VLOOKUP(Vlookup!E14,'CDCM Forecast Data'!$A$14:$I$271,6,FALSE)</f>
        <v>0.95</v>
      </c>
      <c r="F14" s="14">
        <f>VLOOKUP(Vlookup!F14,'CDCM Forecast Data'!$A$14:$I$271,6,FALSE)</f>
        <v>365</v>
      </c>
      <c r="G14" s="10"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11" t="s">
        <v>60</v>
      </c>
      <c r="B24" s="16">
        <f>VLOOKUP(Vlookup!B24,'CDCM Forecast Data'!$A$14:$I$271,6,FALSE)</f>
        <v>6.3829787234042507E-2</v>
      </c>
      <c r="C24" s="10" t="s">
        <v>262</v>
      </c>
      <c r="D24"/>
      <c r="E24"/>
      <c r="F24"/>
      <c r="G24"/>
      <c r="H24"/>
      <c r="I24"/>
      <c r="J24"/>
      <c r="K24"/>
    </row>
    <row r="25" spans="1:11" ht="15">
      <c r="A25" s="11" t="s">
        <v>61</v>
      </c>
      <c r="B25" s="16">
        <f>VLOOKUP(Vlookup!B25,'CDCM Forecast Data'!$A$14:$I$271,6,FALSE)</f>
        <v>5.2999999999999999E-2</v>
      </c>
      <c r="C25" s="10" t="s">
        <v>262</v>
      </c>
      <c r="D25"/>
      <c r="E25"/>
      <c r="F25"/>
      <c r="G25"/>
      <c r="H25"/>
      <c r="I25"/>
      <c r="J25"/>
      <c r="K25"/>
    </row>
    <row r="26" spans="1:11" ht="15">
      <c r="A26" s="11" t="s">
        <v>62</v>
      </c>
      <c r="B26" s="8"/>
      <c r="C26" s="10" t="s">
        <v>262</v>
      </c>
      <c r="D26"/>
      <c r="E26"/>
      <c r="F26"/>
      <c r="G26"/>
      <c r="H26"/>
      <c r="I26"/>
      <c r="J26"/>
      <c r="K26"/>
    </row>
    <row r="27" spans="1:11" ht="15">
      <c r="A27" s="11" t="s">
        <v>63</v>
      </c>
      <c r="B27" s="16">
        <f>VLOOKUP(Vlookup!B27,'CDCM Forecast Data'!$A$14:$I$271,6,FALSE)</f>
        <v>9.9000000000000005E-2</v>
      </c>
      <c r="C27" s="10" t="s">
        <v>262</v>
      </c>
      <c r="D27"/>
      <c r="E27"/>
      <c r="F27"/>
      <c r="G27"/>
      <c r="H27"/>
      <c r="I27"/>
      <c r="J27"/>
      <c r="K27"/>
    </row>
    <row r="28" spans="1:11" ht="15">
      <c r="A28" s="11" t="s">
        <v>64</v>
      </c>
      <c r="B28" s="8"/>
      <c r="C28" s="10" t="s">
        <v>262</v>
      </c>
      <c r="D28"/>
      <c r="E28"/>
      <c r="F28"/>
      <c r="G28"/>
      <c r="H28"/>
      <c r="I28"/>
      <c r="J28"/>
      <c r="K28"/>
    </row>
    <row r="29" spans="1:11" ht="15">
      <c r="A29" s="11" t="s">
        <v>65</v>
      </c>
      <c r="B29" s="16">
        <f>VLOOKUP(Vlookup!B29,'CDCM Forecast Data'!$A$14:$I$271,6,FALSE)</f>
        <v>0.37</v>
      </c>
      <c r="C29" s="10" t="s">
        <v>262</v>
      </c>
      <c r="D29"/>
      <c r="E29"/>
      <c r="F29"/>
      <c r="G29"/>
      <c r="H29"/>
      <c r="I29"/>
      <c r="J29"/>
      <c r="K29"/>
    </row>
    <row r="30" spans="1:11" ht="15">
      <c r="A30" s="11" t="s">
        <v>66</v>
      </c>
      <c r="B30" s="8"/>
      <c r="C30" s="10" t="s">
        <v>262</v>
      </c>
      <c r="D30"/>
      <c r="E30"/>
      <c r="F30"/>
      <c r="G30"/>
      <c r="H30"/>
      <c r="I30"/>
      <c r="J30"/>
      <c r="K30"/>
    </row>
    <row r="31" spans="1:11" ht="15">
      <c r="A31" s="11" t="s">
        <v>67</v>
      </c>
      <c r="B31" s="8"/>
      <c r="C31" s="10"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11" t="s">
        <v>64</v>
      </c>
      <c r="B36" s="16">
        <f>VLOOKUP(Vlookup!B36,'CDCM Forecast Data'!$A$14:$I$271,6,FALSE)</f>
        <v>0.3</v>
      </c>
      <c r="C36" s="10"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11" t="s">
        <v>71</v>
      </c>
      <c r="B41" s="14">
        <f>VLOOKUP(Vlookup!B41,'CDCM Forecast Data'!$A$14:$I$271,6,FALSE)</f>
        <v>500</v>
      </c>
      <c r="C41" s="10"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11" t="s">
        <v>61</v>
      </c>
      <c r="B46" s="14">
        <f>VLOOKUP(Vlookup!B46,'CDCM Forecast Data'!$A$14:$I$271,6,FALSE)</f>
        <v>129768341.39524062</v>
      </c>
      <c r="C46" s="10" t="s">
        <v>262</v>
      </c>
      <c r="D46"/>
      <c r="E46"/>
      <c r="F46"/>
      <c r="G46"/>
      <c r="H46"/>
      <c r="I46"/>
      <c r="J46"/>
      <c r="K46"/>
    </row>
    <row r="47" spans="1:11" ht="15">
      <c r="A47" s="11" t="s">
        <v>62</v>
      </c>
      <c r="B47" s="14">
        <f>VLOOKUP(Vlookup!B47,'CDCM Forecast Data'!$A$14:$I$271,6,FALSE)</f>
        <v>11461874.6664</v>
      </c>
      <c r="C47" s="10" t="s">
        <v>262</v>
      </c>
      <c r="D47"/>
      <c r="E47"/>
      <c r="F47"/>
      <c r="G47"/>
      <c r="H47"/>
      <c r="I47"/>
      <c r="J47"/>
      <c r="K47"/>
    </row>
    <row r="48" spans="1:11" ht="15">
      <c r="A48" s="11" t="s">
        <v>63</v>
      </c>
      <c r="B48" s="14">
        <f>VLOOKUP(Vlookup!B48,'CDCM Forecast Data'!$A$14:$I$271,6,FALSE)</f>
        <v>34011588.189599998</v>
      </c>
      <c r="C48" s="10" t="s">
        <v>262</v>
      </c>
      <c r="D48"/>
      <c r="E48"/>
      <c r="F48"/>
      <c r="G48"/>
      <c r="H48"/>
      <c r="I48"/>
      <c r="J48"/>
      <c r="K48"/>
    </row>
    <row r="49" spans="1:11" ht="15">
      <c r="A49" s="11" t="s">
        <v>64</v>
      </c>
      <c r="B49" s="14">
        <f>VLOOKUP(Vlookup!B49,'CDCM Forecast Data'!$A$14:$I$271,6,FALSE)</f>
        <v>29589844.910879996</v>
      </c>
      <c r="C49" s="10" t="s">
        <v>262</v>
      </c>
      <c r="D49"/>
      <c r="E49"/>
      <c r="F49"/>
      <c r="G49"/>
      <c r="H49"/>
      <c r="I49"/>
      <c r="J49"/>
      <c r="K49"/>
    </row>
    <row r="50" spans="1:11" ht="15">
      <c r="A50" s="11" t="s">
        <v>69</v>
      </c>
      <c r="B50" s="14">
        <f>VLOOKUP(Vlookup!B50,'CDCM Forecast Data'!$A$14:$I$271,6,FALSE)</f>
        <v>9528375.2459999993</v>
      </c>
      <c r="C50" s="10" t="s">
        <v>262</v>
      </c>
      <c r="D50"/>
      <c r="E50"/>
      <c r="F50"/>
      <c r="G50"/>
      <c r="H50"/>
      <c r="I50"/>
      <c r="J50"/>
      <c r="K50"/>
    </row>
    <row r="51" spans="1:11" ht="15">
      <c r="A51" s="11" t="s">
        <v>65</v>
      </c>
      <c r="B51" s="14">
        <f>VLOOKUP(Vlookup!B51,'CDCM Forecast Data'!$A$14:$I$271,6,FALSE)</f>
        <v>142733572.458</v>
      </c>
      <c r="C51" s="10" t="s">
        <v>262</v>
      </c>
      <c r="D51"/>
      <c r="E51"/>
      <c r="F51"/>
      <c r="G51"/>
      <c r="H51"/>
      <c r="I51"/>
      <c r="J51"/>
      <c r="K51"/>
    </row>
    <row r="52" spans="1:11" ht="15">
      <c r="A52" s="11" t="s">
        <v>66</v>
      </c>
      <c r="B52" s="14">
        <f>VLOOKUP(Vlookup!B52,'CDCM Forecast Data'!$A$14:$I$271,6,FALSE)</f>
        <v>55142476.585199997</v>
      </c>
      <c r="C52" s="10" t="s">
        <v>262</v>
      </c>
      <c r="D52"/>
      <c r="E52"/>
      <c r="F52"/>
      <c r="G52"/>
      <c r="H52"/>
      <c r="I52"/>
      <c r="J52"/>
      <c r="K52"/>
    </row>
    <row r="53" spans="1:11" ht="15">
      <c r="A53" s="11" t="s">
        <v>67</v>
      </c>
      <c r="B53" s="14">
        <f>VLOOKUP(Vlookup!B53,'CDCM Forecast Data'!$A$14:$I$271,6,FALSE)</f>
        <v>113568500.262096</v>
      </c>
      <c r="C53" s="10"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11" t="s">
        <v>83</v>
      </c>
      <c r="B58" s="14">
        <f>VLOOKUP(Vlookup!B58,'CDCM Forecast Data'!$A$14:$I$271,6,FALSE)</f>
        <v>5105.1767199999995</v>
      </c>
      <c r="C58" s="14">
        <f>VLOOKUP(Vlookup!C58,'CDCM Forecast Data'!$A$14:$I$271,6,FALSE)</f>
        <v>574.28134</v>
      </c>
      <c r="D58" s="14">
        <f>VLOOKUP(Vlookup!D58,'CDCM Forecast Data'!$A$14:$I$271,6,FALSE)</f>
        <v>699.18343999999991</v>
      </c>
      <c r="E58" s="14">
        <f>VLOOKUP(Vlookup!E58,'CDCM Forecast Data'!$A$14:$I$271,6,FALSE)</f>
        <v>518.52839999999992</v>
      </c>
      <c r="F58" s="14">
        <f>VLOOKUP(Vlookup!F58,'CDCM Forecast Data'!$A$14:$I$271,6,FALSE)</f>
        <v>1178.730448</v>
      </c>
      <c r="G58" s="14">
        <f>VLOOKUP(Vlookup!G58,'CDCM Forecast Data'!$A$14:$I$271,6,FALSE)</f>
        <v>907.87362000000007</v>
      </c>
      <c r="H58" s="14">
        <f>VLOOKUP(Vlookup!H58,'CDCM Forecast Data'!$A$14:$I$271,6,FALSE)</f>
        <v>0</v>
      </c>
      <c r="I58" s="14">
        <f>VLOOKUP(Vlookup!I58,'CDCM Forecast Data'!$A$14:$I$271,6,FALSE)</f>
        <v>474.82320000000004</v>
      </c>
      <c r="J58" s="10"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11" t="s">
        <v>90</v>
      </c>
      <c r="B63" s="14">
        <f>VLOOKUP(Vlookup!B63,'CDCM Forecast Data'!$A$14:$I$271,6,FALSE)</f>
        <v>9007.1597759999986</v>
      </c>
      <c r="C63" s="14">
        <f>VLOOKUP(Vlookup!C63,'CDCM Forecast Data'!$A$14:$I$271,6,FALSE)</f>
        <v>4342.6559999999999</v>
      </c>
      <c r="D63" s="14">
        <f>VLOOKUP(Vlookup!D63,'CDCM Forecast Data'!$A$14:$I$271,6,FALSE)</f>
        <v>0</v>
      </c>
      <c r="E63" s="14">
        <f>VLOOKUP(Vlookup!E63,'CDCM Forecast Data'!$A$14:$I$271,6,FALSE)</f>
        <v>0</v>
      </c>
      <c r="F63" s="14">
        <f>VLOOKUP(Vlookup!F63,'CDCM Forecast Data'!$A$14:$I$271,6,FALSE)</f>
        <v>0</v>
      </c>
      <c r="G63" s="10"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10</v>
      </c>
      <c r="C66">
        <f t="shared" ref="C66:I66" si="0">B66+1</f>
        <v>11</v>
      </c>
      <c r="D66">
        <f t="shared" si="0"/>
        <v>12</v>
      </c>
      <c r="E66">
        <f t="shared" si="0"/>
        <v>13</v>
      </c>
      <c r="F66">
        <f t="shared" si="0"/>
        <v>14</v>
      </c>
      <c r="G66">
        <f t="shared" si="0"/>
        <v>15</v>
      </c>
      <c r="H66">
        <f t="shared" si="0"/>
        <v>16</v>
      </c>
      <c r="I66">
        <f t="shared" si="0"/>
        <v>17</v>
      </c>
      <c r="J66"/>
      <c r="K66"/>
    </row>
    <row r="67" spans="1:11" ht="15">
      <c r="A67"/>
      <c r="B67" s="3" t="s">
        <v>75</v>
      </c>
      <c r="C67" s="3" t="s">
        <v>76</v>
      </c>
      <c r="D67" s="3" t="s">
        <v>77</v>
      </c>
      <c r="E67" s="3" t="s">
        <v>78</v>
      </c>
      <c r="F67" s="3" t="s">
        <v>79</v>
      </c>
      <c r="G67" s="3" t="s">
        <v>80</v>
      </c>
      <c r="H67" s="3" t="s">
        <v>81</v>
      </c>
      <c r="I67" s="3" t="s">
        <v>82</v>
      </c>
      <c r="J67"/>
      <c r="K67"/>
    </row>
    <row r="68" spans="1:11" ht="15">
      <c r="A68" s="11" t="s">
        <v>92</v>
      </c>
      <c r="B68" s="16">
        <f>VLOOKUP($A68,'Mat of App'!$B$7:$AP$37,B$66,FALSE)</f>
        <v>0.05</v>
      </c>
      <c r="C68" s="16">
        <f>VLOOKUP($A68,'Mat of App'!$B$7:$AP$37,C$66,FALSE)</f>
        <v>0</v>
      </c>
      <c r="D68" s="16">
        <f>VLOOKUP($A68,'Mat of App'!$B$7:$AP$37,D$66,FALSE)</f>
        <v>0</v>
      </c>
      <c r="E68" s="16">
        <f>VLOOKUP($A68,'Mat of App'!$B$7:$AP$37,E$66,FALSE)</f>
        <v>0</v>
      </c>
      <c r="F68" s="16">
        <f>VLOOKUP($A68,'Mat of App'!$B$7:$AP$37,F$66,FALSE)</f>
        <v>0</v>
      </c>
      <c r="G68" s="16">
        <f>VLOOKUP($A68,'Mat of App'!$B$7:$AP$37,G$66,FALSE)</f>
        <v>0</v>
      </c>
      <c r="H68" s="16">
        <f>VLOOKUP($A68,'Mat of App'!$B$7:$AP$37,H$66,FALSE)</f>
        <v>0</v>
      </c>
      <c r="I68" s="16">
        <f>VLOOKUP($A68,'Mat of App'!$B$7:$AP$37,I$66,FALSE)</f>
        <v>0</v>
      </c>
      <c r="J68" s="10" t="s">
        <v>262</v>
      </c>
      <c r="K68"/>
    </row>
    <row r="69" spans="1:11" ht="15">
      <c r="A69" s="11" t="s">
        <v>93</v>
      </c>
      <c r="B69" s="16">
        <f>VLOOKUP($A69,'Mat of App'!$B$7:$AP$37,B$66,FALSE)</f>
        <v>0.05</v>
      </c>
      <c r="C69" s="16">
        <f>VLOOKUP($A69,'Mat of App'!$B$7:$AP$37,C$66,FALSE)</f>
        <v>0</v>
      </c>
      <c r="D69" s="16">
        <f>VLOOKUP($A69,'Mat of App'!$B$7:$AP$37,D$66,FALSE)</f>
        <v>0</v>
      </c>
      <c r="E69" s="16">
        <f>VLOOKUP($A69,'Mat of App'!$B$7:$AP$37,E$66,FALSE)</f>
        <v>0</v>
      </c>
      <c r="F69" s="16">
        <f>VLOOKUP($A69,'Mat of App'!$B$7:$AP$37,F$66,FALSE)</f>
        <v>0</v>
      </c>
      <c r="G69" s="16">
        <f>VLOOKUP($A69,'Mat of App'!$B$7:$AP$37,G$66,FALSE)</f>
        <v>0</v>
      </c>
      <c r="H69" s="16">
        <f>VLOOKUP($A69,'Mat of App'!$B$7:$AP$37,H$66,FALSE)</f>
        <v>0</v>
      </c>
      <c r="I69" s="16">
        <f>VLOOKUP($A69,'Mat of App'!$B$7:$AP$37,I$66,FALSE)</f>
        <v>0</v>
      </c>
      <c r="J69" s="10" t="s">
        <v>262</v>
      </c>
      <c r="K69"/>
    </row>
    <row r="70" spans="1:11" ht="15">
      <c r="A70" s="11" t="s">
        <v>94</v>
      </c>
      <c r="B70" s="16">
        <f>VLOOKUP($A70,'Mat of App'!$B$7:$AP$37,B$66,FALSE)</f>
        <v>0</v>
      </c>
      <c r="C70" s="16">
        <f>VLOOKUP($A70,'Mat of App'!$B$7:$AP$37,C$66,FALSE)</f>
        <v>1</v>
      </c>
      <c r="D70" s="16">
        <f>VLOOKUP($A70,'Mat of App'!$B$7:$AP$37,D$66,FALSE)</f>
        <v>0</v>
      </c>
      <c r="E70" s="16">
        <f>VLOOKUP($A70,'Mat of App'!$B$7:$AP$37,E$66,FALSE)</f>
        <v>0</v>
      </c>
      <c r="F70" s="16">
        <f>VLOOKUP($A70,'Mat of App'!$B$7:$AP$37,F$66,FALSE)</f>
        <v>0</v>
      </c>
      <c r="G70" s="16">
        <f>VLOOKUP($A70,'Mat of App'!$B$7:$AP$37,G$66,FALSE)</f>
        <v>0</v>
      </c>
      <c r="H70" s="16">
        <f>VLOOKUP($A70,'Mat of App'!$B$7:$AP$37,H$66,FALSE)</f>
        <v>0</v>
      </c>
      <c r="I70" s="16">
        <f>VLOOKUP($A70,'Mat of App'!$B$7:$AP$37,I$66,FALSE)</f>
        <v>0</v>
      </c>
      <c r="J70" s="10" t="s">
        <v>262</v>
      </c>
      <c r="K70"/>
    </row>
    <row r="71" spans="1:11" ht="15">
      <c r="A71" s="11" t="s">
        <v>95</v>
      </c>
      <c r="B71" s="16">
        <f>VLOOKUP($A71,'Mat of App'!$B$7:$AP$37,B$66,FALSE)</f>
        <v>0</v>
      </c>
      <c r="C71" s="16">
        <f>VLOOKUP($A71,'Mat of App'!$B$7:$AP$37,C$66,FALSE)</f>
        <v>1</v>
      </c>
      <c r="D71" s="16">
        <f>VLOOKUP($A71,'Mat of App'!$B$7:$AP$37,D$66,FALSE)</f>
        <v>0</v>
      </c>
      <c r="E71" s="16">
        <f>VLOOKUP($A71,'Mat of App'!$B$7:$AP$37,E$66,FALSE)</f>
        <v>0</v>
      </c>
      <c r="F71" s="16">
        <f>VLOOKUP($A71,'Mat of App'!$B$7:$AP$37,F$66,FALSE)</f>
        <v>0</v>
      </c>
      <c r="G71" s="16">
        <f>VLOOKUP($A71,'Mat of App'!$B$7:$AP$37,G$66,FALSE)</f>
        <v>0</v>
      </c>
      <c r="H71" s="16">
        <f>VLOOKUP($A71,'Mat of App'!$B$7:$AP$37,H$66,FALSE)</f>
        <v>0</v>
      </c>
      <c r="I71" s="16">
        <f>VLOOKUP($A71,'Mat of App'!$B$7:$AP$37,I$66,FALSE)</f>
        <v>0</v>
      </c>
      <c r="J71" s="10" t="s">
        <v>262</v>
      </c>
      <c r="K71"/>
    </row>
    <row r="72" spans="1:11" ht="15">
      <c r="A72" s="11" t="s">
        <v>96</v>
      </c>
      <c r="B72" s="16">
        <f>VLOOKUP($A72,'Mat of App'!$B$7:$AP$37,B$66,FALSE)</f>
        <v>0</v>
      </c>
      <c r="C72" s="16">
        <f>VLOOKUP($A72,'Mat of App'!$B$7:$AP$37,C$66,FALSE)</f>
        <v>0</v>
      </c>
      <c r="D72" s="16">
        <f>VLOOKUP($A72,'Mat of App'!$B$7:$AP$37,D$66,FALSE)</f>
        <v>1</v>
      </c>
      <c r="E72" s="16">
        <f>VLOOKUP($A72,'Mat of App'!$B$7:$AP$37,E$66,FALSE)</f>
        <v>0</v>
      </c>
      <c r="F72" s="16">
        <f>VLOOKUP($A72,'Mat of App'!$B$7:$AP$37,F$66,FALSE)</f>
        <v>0</v>
      </c>
      <c r="G72" s="16">
        <f>VLOOKUP($A72,'Mat of App'!$B$7:$AP$37,G$66,FALSE)</f>
        <v>0</v>
      </c>
      <c r="H72" s="16">
        <f>VLOOKUP($A72,'Mat of App'!$B$7:$AP$37,H$66,FALSE)</f>
        <v>0</v>
      </c>
      <c r="I72" s="16">
        <f>VLOOKUP($A72,'Mat of App'!$B$7:$AP$37,I$66,FALSE)</f>
        <v>0</v>
      </c>
      <c r="J72" s="10"/>
      <c r="K72"/>
    </row>
    <row r="73" spans="1:11" ht="15">
      <c r="A73" s="11" t="s">
        <v>97</v>
      </c>
      <c r="B73" s="16">
        <f>VLOOKUP($A73,'Mat of App'!$B$7:$AP$37,B$66,FALSE)</f>
        <v>0</v>
      </c>
      <c r="C73" s="16">
        <f>VLOOKUP($A73,'Mat of App'!$B$7:$AP$37,C$66,FALSE)</f>
        <v>0</v>
      </c>
      <c r="D73" s="16">
        <f>VLOOKUP($A73,'Mat of App'!$B$7:$AP$37,D$66,FALSE)</f>
        <v>0</v>
      </c>
      <c r="E73" s="16">
        <f>VLOOKUP($A73,'Mat of App'!$B$7:$AP$37,E$66,FALSE)</f>
        <v>1</v>
      </c>
      <c r="F73" s="16">
        <f>VLOOKUP($A73,'Mat of App'!$B$7:$AP$37,F$66,FALSE)</f>
        <v>0</v>
      </c>
      <c r="G73" s="16">
        <f>VLOOKUP($A73,'Mat of App'!$B$7:$AP$37,G$66,FALSE)</f>
        <v>0</v>
      </c>
      <c r="H73" s="16">
        <f>VLOOKUP($A73,'Mat of App'!$B$7:$AP$37,H$66,FALSE)</f>
        <v>0</v>
      </c>
      <c r="I73" s="16">
        <f>VLOOKUP($A73,'Mat of App'!$B$7:$AP$37,I$66,FALSE)</f>
        <v>0</v>
      </c>
      <c r="J73" s="10"/>
      <c r="K73"/>
    </row>
    <row r="74" spans="1:11" ht="15">
      <c r="A74" s="11" t="s">
        <v>1647</v>
      </c>
      <c r="B74" s="16">
        <f>VLOOKUP($A74,'Mat of App'!$B$7:$AP$37,B$66,FALSE)</f>
        <v>0.05</v>
      </c>
      <c r="C74" s="16">
        <f>VLOOKUP($A74,'Mat of App'!$B$7:$AP$37,C$66,FALSE)</f>
        <v>0</v>
      </c>
      <c r="D74" s="16">
        <f>VLOOKUP($A74,'Mat of App'!$B$7:$AP$37,D$66,FALSE)</f>
        <v>0</v>
      </c>
      <c r="E74" s="16">
        <f>VLOOKUP($A74,'Mat of App'!$B$7:$AP$37,E$66,FALSE)</f>
        <v>0</v>
      </c>
      <c r="F74" s="16">
        <f>VLOOKUP($A74,'Mat of App'!$B$7:$AP$37,F$66,FALSE)</f>
        <v>0</v>
      </c>
      <c r="G74" s="16">
        <f>VLOOKUP($A74,'Mat of App'!$B$7:$AP$37,G$66,FALSE)</f>
        <v>0</v>
      </c>
      <c r="H74" s="16">
        <f>VLOOKUP($A74,'Mat of App'!$B$7:$AP$37,H$66,FALSE)</f>
        <v>0</v>
      </c>
      <c r="I74" s="16">
        <f>VLOOKUP($A74,'Mat of App'!$B$7:$AP$37,I$66,FALSE)</f>
        <v>0</v>
      </c>
      <c r="J74" s="10" t="s">
        <v>262</v>
      </c>
      <c r="K74"/>
    </row>
    <row r="75" spans="1:11" ht="15">
      <c r="A75" s="11" t="s">
        <v>1646</v>
      </c>
      <c r="B75" s="16">
        <f>VLOOKUP($A75,'Mat of App'!$B$7:$AP$37,B$66,FALSE)</f>
        <v>0</v>
      </c>
      <c r="C75" s="16">
        <f>VLOOKUP($A75,'Mat of App'!$B$7:$AP$37,C$66,FALSE)</f>
        <v>1</v>
      </c>
      <c r="D75" s="16">
        <f>VLOOKUP($A75,'Mat of App'!$B$7:$AP$37,D$66,FALSE)</f>
        <v>0</v>
      </c>
      <c r="E75" s="16">
        <f>VLOOKUP($A75,'Mat of App'!$B$7:$AP$37,E$66,FALSE)</f>
        <v>0</v>
      </c>
      <c r="F75" s="16">
        <f>VLOOKUP($A75,'Mat of App'!$B$7:$AP$37,F$66,FALSE)</f>
        <v>0</v>
      </c>
      <c r="G75" s="16">
        <f>VLOOKUP($A75,'Mat of App'!$B$7:$AP$37,G$66,FALSE)</f>
        <v>0</v>
      </c>
      <c r="H75" s="16">
        <f>VLOOKUP($A75,'Mat of App'!$B$7:$AP$37,H$66,FALSE)</f>
        <v>0</v>
      </c>
      <c r="I75" s="16">
        <f>VLOOKUP($A75,'Mat of App'!$B$7:$AP$37,I$66,FALSE)</f>
        <v>0</v>
      </c>
      <c r="J75" s="10" t="s">
        <v>262</v>
      </c>
      <c r="K75"/>
    </row>
    <row r="76" spans="1:11" ht="15">
      <c r="A76" s="11" t="s">
        <v>98</v>
      </c>
      <c r="B76" s="16">
        <f>VLOOKUP($A76,'Mat of App'!$B$7:$AP$37,B$66,FALSE)</f>
        <v>0</v>
      </c>
      <c r="C76" s="16">
        <f>VLOOKUP($A76,'Mat of App'!$B$7:$AP$37,C$66,FALSE)</f>
        <v>0</v>
      </c>
      <c r="D76" s="16">
        <f>VLOOKUP($A76,'Mat of App'!$B$7:$AP$37,D$66,FALSE)</f>
        <v>0</v>
      </c>
      <c r="E76" s="16">
        <f>VLOOKUP($A76,'Mat of App'!$B$7:$AP$37,E$66,FALSE)</f>
        <v>0</v>
      </c>
      <c r="F76" s="16">
        <f>VLOOKUP($A76,'Mat of App'!$B$7:$AP$37,F$66,FALSE)</f>
        <v>1</v>
      </c>
      <c r="G76" s="16">
        <f>VLOOKUP($A76,'Mat of App'!$B$7:$AP$37,G$66,FALSE)</f>
        <v>0</v>
      </c>
      <c r="H76" s="16">
        <f>VLOOKUP($A76,'Mat of App'!$B$7:$AP$37,H$66,FALSE)</f>
        <v>0</v>
      </c>
      <c r="I76" s="16">
        <f>VLOOKUP($A76,'Mat of App'!$B$7:$AP$37,I$66,FALSE)</f>
        <v>0</v>
      </c>
      <c r="J76" s="10" t="s">
        <v>262</v>
      </c>
      <c r="K76"/>
    </row>
    <row r="77" spans="1:11" ht="15">
      <c r="A77" s="11" t="s">
        <v>99</v>
      </c>
      <c r="B77" s="16">
        <f>VLOOKUP($A77,'Mat of App'!$B$7:$AP$37,B$66,FALSE)</f>
        <v>0</v>
      </c>
      <c r="C77" s="16">
        <f>VLOOKUP($A77,'Mat of App'!$B$7:$AP$37,C$66,FALSE)</f>
        <v>0</v>
      </c>
      <c r="D77" s="16">
        <f>VLOOKUP($A77,'Mat of App'!$B$7:$AP$37,D$66,FALSE)</f>
        <v>0</v>
      </c>
      <c r="E77" s="16">
        <f>VLOOKUP($A77,'Mat of App'!$B$7:$AP$37,E$66,FALSE)</f>
        <v>0</v>
      </c>
      <c r="F77" s="16">
        <f>VLOOKUP($A77,'Mat of App'!$B$7:$AP$37,F$66,FALSE)</f>
        <v>0</v>
      </c>
      <c r="G77" s="16">
        <f>VLOOKUP($A77,'Mat of App'!$B$7:$AP$37,G$66,FALSE)</f>
        <v>1</v>
      </c>
      <c r="H77" s="16">
        <f>VLOOKUP($A77,'Mat of App'!$B$7:$AP$37,H$66,FALSE)</f>
        <v>0</v>
      </c>
      <c r="I77" s="16">
        <f>VLOOKUP($A77,'Mat of App'!$B$7:$AP$37,I$66,FALSE)</f>
        <v>0</v>
      </c>
      <c r="J77" s="10" t="s">
        <v>262</v>
      </c>
      <c r="K77"/>
    </row>
    <row r="78" spans="1:11" ht="15">
      <c r="A78" s="11" t="s">
        <v>1645</v>
      </c>
      <c r="B78" s="16">
        <f>VLOOKUP($A78,'Mat of App'!$B$7:$AP$37,B$66,FALSE)</f>
        <v>0</v>
      </c>
      <c r="C78" s="16">
        <f>VLOOKUP($A78,'Mat of App'!$B$7:$AP$37,C$66,FALSE)</f>
        <v>0</v>
      </c>
      <c r="D78" s="16">
        <f>VLOOKUP($A78,'Mat of App'!$B$7:$AP$37,D$66,FALSE)</f>
        <v>0</v>
      </c>
      <c r="E78" s="16">
        <f>VLOOKUP($A78,'Mat of App'!$B$7:$AP$37,E$66,FALSE)</f>
        <v>0</v>
      </c>
      <c r="F78" s="16">
        <f>VLOOKUP($A78,'Mat of App'!$B$7:$AP$37,F$66,FALSE)</f>
        <v>0</v>
      </c>
      <c r="G78" s="16">
        <f>VLOOKUP($A78,'Mat of App'!$B$7:$AP$37,G$66,FALSE)</f>
        <v>0</v>
      </c>
      <c r="H78" s="16">
        <f>VLOOKUP($A78,'Mat of App'!$B$7:$AP$37,H$66,FALSE)</f>
        <v>1</v>
      </c>
      <c r="I78" s="16">
        <f>VLOOKUP($A78,'Mat of App'!$B$7:$AP$37,I$66,FALSE)</f>
        <v>0</v>
      </c>
      <c r="J78" s="10" t="s">
        <v>262</v>
      </c>
      <c r="K78"/>
    </row>
    <row r="79" spans="1:11" ht="15">
      <c r="A79" s="11" t="s">
        <v>100</v>
      </c>
      <c r="B79" s="16">
        <f>VLOOKUP($A79,'Mat of App'!$B$7:$AP$37,B$66,FALSE)</f>
        <v>0</v>
      </c>
      <c r="C79" s="16">
        <f>VLOOKUP($A79,'Mat of App'!$B$7:$AP$37,C$66,FALSE)</f>
        <v>0</v>
      </c>
      <c r="D79" s="16">
        <f>VLOOKUP($A79,'Mat of App'!$B$7:$AP$37,D$66,FALSE)</f>
        <v>0</v>
      </c>
      <c r="E79" s="16">
        <f>VLOOKUP($A79,'Mat of App'!$B$7:$AP$37,E$66,FALSE)</f>
        <v>0</v>
      </c>
      <c r="F79" s="16">
        <f>VLOOKUP($A79,'Mat of App'!$B$7:$AP$37,F$66,FALSE)</f>
        <v>0</v>
      </c>
      <c r="G79" s="16">
        <f>VLOOKUP($A79,'Mat of App'!$B$7:$AP$37,G$66,FALSE)</f>
        <v>0</v>
      </c>
      <c r="H79" s="16">
        <f>VLOOKUP($A79,'Mat of App'!$B$7:$AP$37,H$66,FALSE)</f>
        <v>1</v>
      </c>
      <c r="I79" s="16">
        <f>VLOOKUP($A79,'Mat of App'!$B$7:$AP$37,I$66,FALSE)</f>
        <v>0</v>
      </c>
      <c r="J79" s="10" t="s">
        <v>262</v>
      </c>
      <c r="K79"/>
    </row>
    <row r="80" spans="1:11" ht="15">
      <c r="A80" s="11" t="s">
        <v>101</v>
      </c>
      <c r="B80" s="16">
        <f>VLOOKUP($A80,'Mat of App'!$B$7:$AP$37,B$66,FALSE)</f>
        <v>0</v>
      </c>
      <c r="C80" s="16">
        <f>VLOOKUP($A80,'Mat of App'!$B$7:$AP$37,C$66,FALSE)</f>
        <v>0</v>
      </c>
      <c r="D80" s="16">
        <f>VLOOKUP($A80,'Mat of App'!$B$7:$AP$37,D$66,FALSE)</f>
        <v>0</v>
      </c>
      <c r="E80" s="16">
        <f>VLOOKUP($A80,'Mat of App'!$B$7:$AP$37,E$66,FALSE)</f>
        <v>0</v>
      </c>
      <c r="F80" s="16">
        <f>VLOOKUP($A80,'Mat of App'!$B$7:$AP$37,F$66,FALSE)</f>
        <v>0</v>
      </c>
      <c r="G80" s="16">
        <f>VLOOKUP($A80,'Mat of App'!$B$7:$AP$37,G$66,FALSE)</f>
        <v>0</v>
      </c>
      <c r="H80" s="16">
        <f>VLOOKUP($A80,'Mat of App'!$B$7:$AP$37,H$66,FALSE)</f>
        <v>1</v>
      </c>
      <c r="I80" s="16">
        <f>VLOOKUP($A80,'Mat of App'!$B$7:$AP$37,I$66,FALSE)</f>
        <v>0</v>
      </c>
      <c r="J80" s="10" t="s">
        <v>262</v>
      </c>
      <c r="K80"/>
    </row>
    <row r="81" spans="1:11" ht="15">
      <c r="A81" s="11" t="s">
        <v>102</v>
      </c>
      <c r="B81" s="16">
        <f>VLOOKUP($A81,'Mat of App'!$B$7:$AP$37,B$66,FALSE)</f>
        <v>0</v>
      </c>
      <c r="C81" s="16">
        <f>VLOOKUP($A81,'Mat of App'!$B$7:$AP$37,C$66,FALSE)</f>
        <v>0</v>
      </c>
      <c r="D81" s="16">
        <f>VLOOKUP($A81,'Mat of App'!$B$7:$AP$37,D$66,FALSE)</f>
        <v>0</v>
      </c>
      <c r="E81" s="16">
        <f>VLOOKUP($A81,'Mat of App'!$B$7:$AP$37,E$66,FALSE)</f>
        <v>0</v>
      </c>
      <c r="F81" s="16">
        <f>VLOOKUP($A81,'Mat of App'!$B$7:$AP$37,F$66,FALSE)</f>
        <v>0</v>
      </c>
      <c r="G81" s="16">
        <f>VLOOKUP($A81,'Mat of App'!$B$7:$AP$37,G$66,FALSE)</f>
        <v>0</v>
      </c>
      <c r="H81" s="16">
        <f>VLOOKUP($A81,'Mat of App'!$B$7:$AP$37,H$66,FALSE)</f>
        <v>0</v>
      </c>
      <c r="I81" s="16">
        <f>VLOOKUP($A81,'Mat of App'!$B$7:$AP$37,I$66,FALSE)</f>
        <v>0</v>
      </c>
      <c r="J81" s="10" t="s">
        <v>262</v>
      </c>
      <c r="K81"/>
    </row>
    <row r="82" spans="1:11" ht="15">
      <c r="A82" s="11" t="s">
        <v>103</v>
      </c>
      <c r="B82" s="16">
        <f>VLOOKUP($A82,'Mat of App'!$B$7:$AP$37,B$66,FALSE)</f>
        <v>0</v>
      </c>
      <c r="C82" s="16">
        <f>VLOOKUP($A82,'Mat of App'!$B$7:$AP$37,C$66,FALSE)</f>
        <v>0</v>
      </c>
      <c r="D82" s="16">
        <f>VLOOKUP($A82,'Mat of App'!$B$7:$AP$37,D$66,FALSE)</f>
        <v>0</v>
      </c>
      <c r="E82" s="16">
        <f>VLOOKUP($A82,'Mat of App'!$B$7:$AP$37,E$66,FALSE)</f>
        <v>0</v>
      </c>
      <c r="F82" s="16">
        <f>VLOOKUP($A82,'Mat of App'!$B$7:$AP$37,F$66,FALSE)</f>
        <v>0</v>
      </c>
      <c r="G82" s="16">
        <f>VLOOKUP($A82,'Mat of App'!$B$7:$AP$37,G$66,FALSE)</f>
        <v>0</v>
      </c>
      <c r="H82" s="16">
        <f>VLOOKUP($A82,'Mat of App'!$B$7:$AP$37,H$66,FALSE)</f>
        <v>0</v>
      </c>
      <c r="I82" s="16">
        <f>VLOOKUP($A82,'Mat of App'!$B$7:$AP$37,I$66,FALSE)</f>
        <v>0</v>
      </c>
      <c r="J82" s="10" t="s">
        <v>262</v>
      </c>
      <c r="K82"/>
    </row>
    <row r="83" spans="1:11" ht="15">
      <c r="A83" s="11" t="s">
        <v>104</v>
      </c>
      <c r="B83" s="16">
        <f>VLOOKUP($A83,'Mat of App'!$B$7:$AP$37,B$66,FALSE)</f>
        <v>0</v>
      </c>
      <c r="C83" s="16">
        <f>VLOOKUP($A83,'Mat of App'!$B$7:$AP$37,C$66,FALSE)</f>
        <v>0</v>
      </c>
      <c r="D83" s="16">
        <f>VLOOKUP($A83,'Mat of App'!$B$7:$AP$37,D$66,FALSE)</f>
        <v>0</v>
      </c>
      <c r="E83" s="16">
        <f>VLOOKUP($A83,'Mat of App'!$B$7:$AP$37,E$66,FALSE)</f>
        <v>0</v>
      </c>
      <c r="F83" s="16">
        <f>VLOOKUP($A83,'Mat of App'!$B$7:$AP$37,F$66,FALSE)</f>
        <v>0</v>
      </c>
      <c r="G83" s="16">
        <f>VLOOKUP($A83,'Mat of App'!$B$7:$AP$37,G$66,FALSE)</f>
        <v>0</v>
      </c>
      <c r="H83" s="16">
        <f>VLOOKUP($A83,'Mat of App'!$B$7:$AP$37,H$66,FALSE)</f>
        <v>0</v>
      </c>
      <c r="I83" s="16">
        <f>VLOOKUP($A83,'Mat of App'!$B$7:$AP$37,I$66,FALSE)</f>
        <v>0</v>
      </c>
      <c r="J83" s="10"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11"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0.48759999999999998</v>
      </c>
      <c r="J90" s="10"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7</v>
      </c>
      <c r="C93">
        <f>B93+1</f>
        <v>8</v>
      </c>
      <c r="D93">
        <f>C93+1</f>
        <v>9</v>
      </c>
      <c r="E93">
        <f>D93+1</f>
        <v>10</v>
      </c>
      <c r="F93">
        <f>E93+1</f>
        <v>11</v>
      </c>
      <c r="G93"/>
      <c r="H93"/>
      <c r="I93"/>
      <c r="J93"/>
      <c r="K93"/>
    </row>
    <row r="94" spans="1:11" ht="15">
      <c r="A94"/>
      <c r="B94" s="3" t="s">
        <v>85</v>
      </c>
      <c r="C94" s="3" t="s">
        <v>86</v>
      </c>
      <c r="D94" s="3" t="s">
        <v>87</v>
      </c>
      <c r="E94" s="3" t="s">
        <v>88</v>
      </c>
      <c r="F94" s="3" t="s">
        <v>89</v>
      </c>
      <c r="G94"/>
      <c r="H94"/>
      <c r="I94"/>
      <c r="J94"/>
      <c r="K94"/>
    </row>
    <row r="95" spans="1:11" ht="15">
      <c r="A95" s="11" t="s">
        <v>110</v>
      </c>
      <c r="B95" s="16">
        <f>VLOOKUP($A95,'Mat of App'!$B$7:$AP$37,B$93,FALSE)</f>
        <v>1</v>
      </c>
      <c r="C95" s="16">
        <f>VLOOKUP($A95,'Mat of App'!$B$7:$AP$37,C$93,FALSE)</f>
        <v>0</v>
      </c>
      <c r="D95" s="16">
        <f>VLOOKUP($A95,'Mat of App'!$B$7:$AP$37,D$93,FALSE)</f>
        <v>0</v>
      </c>
      <c r="E95" s="16">
        <f>VLOOKUP($A95,'Mat of App'!$B$7:$AP$37,E$93,FALSE)</f>
        <v>0</v>
      </c>
      <c r="F95" s="16">
        <f>VLOOKUP($A95,'Mat of App'!$B$7:$AP$37,F$93,FALSE)</f>
        <v>0</v>
      </c>
      <c r="G95" s="10" t="s">
        <v>262</v>
      </c>
      <c r="H95"/>
      <c r="I95"/>
      <c r="J95"/>
      <c r="K95"/>
    </row>
    <row r="96" spans="1:11" ht="15">
      <c r="A96" s="11" t="s">
        <v>111</v>
      </c>
      <c r="B96" s="16">
        <f>VLOOKUP($A96,'Mat of App'!$B$7:$AP$37,B$93,FALSE)</f>
        <v>1</v>
      </c>
      <c r="C96" s="16">
        <f>VLOOKUP($A96,'Mat of App'!$B$7:$AP$37,C$93,FALSE)</f>
        <v>0</v>
      </c>
      <c r="D96" s="16">
        <f>VLOOKUP($A96,'Mat of App'!$B$7:$AP$37,D$93,FALSE)</f>
        <v>0</v>
      </c>
      <c r="E96" s="16">
        <f>VLOOKUP($A96,'Mat of App'!$B$7:$AP$37,E$93,FALSE)</f>
        <v>0</v>
      </c>
      <c r="F96" s="16">
        <f>VLOOKUP($A96,'Mat of App'!$B$7:$AP$37,F$93,FALSE)</f>
        <v>0</v>
      </c>
      <c r="G96" s="10" t="s">
        <v>262</v>
      </c>
      <c r="H96"/>
      <c r="I96"/>
      <c r="J96"/>
      <c r="K96"/>
    </row>
    <row r="97" spans="1:11" customFormat="1" ht="15">
      <c r="A97" s="11" t="s">
        <v>112</v>
      </c>
      <c r="B97" s="16">
        <f>VLOOKUP($A97,'Mat of App'!$B$7:$AP$37,B$93,FALSE)</f>
        <v>0</v>
      </c>
      <c r="C97" s="16">
        <f>VLOOKUP($A97,'Mat of App'!$B$7:$AP$37,C$93,FALSE)</f>
        <v>1</v>
      </c>
      <c r="D97" s="16">
        <f>VLOOKUP($A97,'Mat of App'!$B$7:$AP$37,D$93,FALSE)</f>
        <v>0</v>
      </c>
      <c r="E97" s="16">
        <f>VLOOKUP($A97,'Mat of App'!$B$7:$AP$37,E$93,FALSE)</f>
        <v>0</v>
      </c>
      <c r="F97" s="16">
        <f>VLOOKUP($A97,'Mat of App'!$B$7:$AP$37,F$93,FALSE)</f>
        <v>0</v>
      </c>
      <c r="G97" s="10"/>
    </row>
    <row r="98" spans="1:11" customFormat="1" ht="15">
      <c r="A98" s="11" t="s">
        <v>113</v>
      </c>
      <c r="B98" s="16">
        <f>VLOOKUP($A98,'Mat of App'!$B$7:$AP$37,B$93,FALSE)</f>
        <v>0</v>
      </c>
      <c r="C98" s="16">
        <f>VLOOKUP($A98,'Mat of App'!$B$7:$AP$37,C$93,FALSE)</f>
        <v>1</v>
      </c>
      <c r="D98" s="16">
        <f>VLOOKUP($A98,'Mat of App'!$B$7:$AP$37,D$93,FALSE)</f>
        <v>0</v>
      </c>
      <c r="E98" s="16">
        <f>VLOOKUP($A98,'Mat of App'!$B$7:$AP$37,E$93,FALSE)</f>
        <v>0</v>
      </c>
      <c r="F98" s="16">
        <f>VLOOKUP($A98,'Mat of App'!$B$7:$AP$37,F$93,FALSE)</f>
        <v>0</v>
      </c>
      <c r="G98" s="10"/>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11" t="s">
        <v>116</v>
      </c>
      <c r="B104" s="4">
        <f>VLOOKUP(Vlookup!B69,'CDCM Forecast Data'!$A$14:$I$271,6,FALSE)</f>
        <v>1.0097</v>
      </c>
      <c r="C104" s="4">
        <f>VLOOKUP(Vlookup!C69,'CDCM Forecast Data'!$A$14:$I$271,6,FALSE)</f>
        <v>1.0142</v>
      </c>
      <c r="D104" s="4">
        <f>VLOOKUP(Vlookup!D69,'CDCM Forecast Data'!$A$14:$I$271,6,FALSE)</f>
        <v>1.0269999999999999</v>
      </c>
      <c r="E104" s="4">
        <f>VLOOKUP(Vlookup!E69,'CDCM Forecast Data'!$A$14:$I$271,6,FALSE)</f>
        <v>1.0348999999999999</v>
      </c>
      <c r="F104" s="4">
        <f>VLOOKUP(Vlookup!F69,'CDCM Forecast Data'!$A$14:$I$271,6,FALSE)</f>
        <v>1.0439000000000001</v>
      </c>
      <c r="G104" s="4">
        <f>VLOOKUP(Vlookup!G69,'CDCM Forecast Data'!$A$14:$I$271,6,FALSE)</f>
        <v>1.0640000000000001</v>
      </c>
      <c r="H104" s="4">
        <f>VLOOKUP(Vlookup!H69,'CDCM Forecast Data'!$A$14:$I$271,6,FALSE)</f>
        <v>1.085</v>
      </c>
      <c r="I104" s="10"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11" t="s">
        <v>124</v>
      </c>
      <c r="B110" s="8"/>
      <c r="C110" s="16">
        <f>VLOOKUP(Vlookup!C75,'CDCM Forecast Data'!$A$14:$I$271,6,FALSE)</f>
        <v>0.31963777193131604</v>
      </c>
      <c r="D110" s="16">
        <f>VLOOKUP(Vlookup!D75,'CDCM Forecast Data'!$A$14:$I$271,6,FALSE)</f>
        <v>0.63846715658715969</v>
      </c>
      <c r="E110" s="16">
        <f>VLOOKUP(Vlookup!E75,'CDCM Forecast Data'!$A$14:$I$271,6,FALSE)</f>
        <v>0.45349156811055275</v>
      </c>
      <c r="F110" s="16">
        <f>VLOOKUP(Vlookup!F75,'CDCM Forecast Data'!$A$14:$I$271,6,FALSE)</f>
        <v>0.34444405043316395</v>
      </c>
      <c r="G110" s="10"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11" t="s">
        <v>92</v>
      </c>
      <c r="B116" s="4">
        <f>VLOOKUP(Vlookup!B81,'CDCM Forecast Data'!$A$14:$I$271,6,FALSE)</f>
        <v>0.85759516031476501</v>
      </c>
      <c r="C116" s="4">
        <f>VLOOKUP(Vlookup!C81,'CDCM Forecast Data'!$A$14:$I$271,6,FALSE)</f>
        <v>0.44003574379694171</v>
      </c>
      <c r="D116" s="10" t="s">
        <v>262</v>
      </c>
      <c r="E116"/>
      <c r="F116"/>
      <c r="G116"/>
      <c r="H116"/>
      <c r="I116"/>
      <c r="J116"/>
      <c r="K116"/>
    </row>
    <row r="117" spans="1:11" ht="15">
      <c r="A117" s="11" t="s">
        <v>93</v>
      </c>
      <c r="B117" s="4">
        <f>VLOOKUP(Vlookup!B82,'CDCM Forecast Data'!$A$14:$I$271,6,FALSE)</f>
        <v>0.28862941872680464</v>
      </c>
      <c r="C117" s="4">
        <f>VLOOKUP(Vlookup!C82,'CDCM Forecast Data'!$A$14:$I$271,6,FALSE)</f>
        <v>0.24997898838710139</v>
      </c>
      <c r="D117" s="10" t="s">
        <v>262</v>
      </c>
      <c r="E117"/>
      <c r="F117"/>
      <c r="G117"/>
      <c r="H117"/>
      <c r="I117"/>
      <c r="J117"/>
      <c r="K117"/>
    </row>
    <row r="118" spans="1:11" ht="15">
      <c r="A118" s="11" t="s">
        <v>129</v>
      </c>
      <c r="B118" s="8"/>
      <c r="C118" s="4">
        <f>VLOOKUP(Vlookup!C83,'CDCM Forecast Data'!$A$14:$I$271,6,FALSE)</f>
        <v>0.25721840525583911</v>
      </c>
      <c r="D118" s="10" t="s">
        <v>262</v>
      </c>
      <c r="E118"/>
      <c r="F118"/>
      <c r="G118"/>
      <c r="H118"/>
      <c r="I118"/>
      <c r="J118"/>
      <c r="K118"/>
    </row>
    <row r="119" spans="1:11" ht="15">
      <c r="A119" s="11" t="s">
        <v>94</v>
      </c>
      <c r="B119" s="4">
        <f>VLOOKUP(Vlookup!B84,'CDCM Forecast Data'!$A$14:$I$271,6,FALSE)</f>
        <v>0.63063099162887759</v>
      </c>
      <c r="C119" s="4">
        <f>VLOOKUP(Vlookup!C84,'CDCM Forecast Data'!$A$14:$I$271,6,FALSE)</f>
        <v>0.41141924234461547</v>
      </c>
      <c r="D119" s="10" t="s">
        <v>262</v>
      </c>
      <c r="E119"/>
      <c r="F119"/>
      <c r="G119"/>
      <c r="H119"/>
      <c r="I119"/>
      <c r="J119"/>
      <c r="K119"/>
    </row>
    <row r="120" spans="1:11" ht="15">
      <c r="A120" s="11" t="s">
        <v>95</v>
      </c>
      <c r="B120" s="4">
        <f>VLOOKUP(Vlookup!B85,'CDCM Forecast Data'!$A$14:$I$271,6,FALSE)</f>
        <v>0.72549700914004911</v>
      </c>
      <c r="C120" s="4">
        <f>VLOOKUP(Vlookup!C85,'CDCM Forecast Data'!$A$14:$I$271,6,FALSE)</f>
        <v>0.55069014186184517</v>
      </c>
      <c r="D120" s="10" t="s">
        <v>262</v>
      </c>
      <c r="E120"/>
      <c r="F120"/>
      <c r="G120"/>
      <c r="H120"/>
      <c r="I120"/>
      <c r="J120"/>
      <c r="K120"/>
    </row>
    <row r="121" spans="1:11" ht="15">
      <c r="A121" s="11" t="s">
        <v>130</v>
      </c>
      <c r="B121" s="8"/>
      <c r="C121" s="4">
        <f>VLOOKUP(Vlookup!C86,'CDCM Forecast Data'!$A$14:$I$271,6,FALSE)</f>
        <v>0.28056285937387915</v>
      </c>
      <c r="D121" s="10" t="s">
        <v>262</v>
      </c>
      <c r="E121"/>
      <c r="F121"/>
      <c r="G121"/>
      <c r="H121"/>
      <c r="I121"/>
      <c r="J121"/>
      <c r="K121"/>
    </row>
    <row r="122" spans="1:11" ht="15">
      <c r="A122" s="11" t="s">
        <v>96</v>
      </c>
      <c r="B122" s="4">
        <f>VLOOKUP(Vlookup!B87,'CDCM Forecast Data'!$A$14:$I$271,6,FALSE)</f>
        <v>0.77193739705983777</v>
      </c>
      <c r="C122" s="4">
        <f>VLOOKUP(Vlookup!C87,'CDCM Forecast Data'!$A$14:$I$271,6,FALSE)</f>
        <v>0.54202643928388716</v>
      </c>
      <c r="D122" s="10" t="s">
        <v>262</v>
      </c>
      <c r="E122"/>
      <c r="F122"/>
      <c r="G122"/>
      <c r="H122"/>
      <c r="I122"/>
      <c r="J122"/>
      <c r="K122"/>
    </row>
    <row r="123" spans="1:11" ht="15">
      <c r="A123" s="11" t="s">
        <v>97</v>
      </c>
      <c r="B123" s="4">
        <f>VLOOKUP(Vlookup!B88,'CDCM Forecast Data'!$A$14:$I$271,6,FALSE)</f>
        <v>0.77193739705983777</v>
      </c>
      <c r="C123" s="4">
        <f>VLOOKUP(Vlookup!C88,'CDCM Forecast Data'!$A$14:$I$271,6,FALSE)</f>
        <v>0.54202643928388716</v>
      </c>
      <c r="D123" s="10" t="s">
        <v>262</v>
      </c>
      <c r="E123"/>
      <c r="F123"/>
      <c r="G123"/>
      <c r="H123"/>
      <c r="I123"/>
      <c r="J123"/>
      <c r="K123"/>
    </row>
    <row r="124" spans="1:11" ht="15">
      <c r="A124" s="11" t="s">
        <v>110</v>
      </c>
      <c r="B124" s="4">
        <f>VLOOKUP(Vlookup!B89,'CDCM Forecast Data'!$A$14:$I$271,6,FALSE)</f>
        <v>0.5147350712369958</v>
      </c>
      <c r="C124" s="4">
        <f>VLOOKUP(Vlookup!C89,'CDCM Forecast Data'!$A$14:$I$271,6,FALSE)</f>
        <v>0.37297691878220807</v>
      </c>
      <c r="D124" s="10" t="s">
        <v>262</v>
      </c>
      <c r="E124"/>
      <c r="F124"/>
      <c r="G124"/>
      <c r="H124"/>
      <c r="I124"/>
      <c r="J124"/>
      <c r="K124"/>
    </row>
    <row r="125" spans="1:11" ht="15">
      <c r="A125" s="11" t="s">
        <v>1647</v>
      </c>
      <c r="B125" s="4">
        <f>VLOOKUP(Vlookup!B90,'CDCM Forecast Data'!$A$14:$I$271,6,FALSE)</f>
        <v>0.82538148778829346</v>
      </c>
      <c r="C125" s="4">
        <f>VLOOKUP(Vlookup!C90,'CDCM Forecast Data'!$A$14:$I$271,6,FALSE)</f>
        <v>0.42910585224417291</v>
      </c>
      <c r="D125" s="10" t="s">
        <v>262</v>
      </c>
      <c r="E125"/>
      <c r="F125"/>
      <c r="G125"/>
      <c r="H125"/>
      <c r="I125"/>
      <c r="J125"/>
      <c r="K125"/>
    </row>
    <row r="126" spans="1:11" ht="15">
      <c r="A126" s="11" t="s">
        <v>1646</v>
      </c>
      <c r="B126" s="4">
        <f>VLOOKUP(Vlookup!B91,'CDCM Forecast Data'!$A$14:$I$271,6,FALSE)</f>
        <v>0.64712654999949026</v>
      </c>
      <c r="C126" s="4">
        <f>VLOOKUP(Vlookup!C91,'CDCM Forecast Data'!$A$14:$I$271,6,FALSE)</f>
        <v>0.43505682103944454</v>
      </c>
      <c r="D126" s="10" t="s">
        <v>262</v>
      </c>
      <c r="E126"/>
      <c r="F126"/>
      <c r="G126"/>
      <c r="H126"/>
      <c r="I126"/>
      <c r="J126"/>
      <c r="K126"/>
    </row>
    <row r="127" spans="1:11" ht="15">
      <c r="A127" s="11" t="s">
        <v>98</v>
      </c>
      <c r="B127" s="4">
        <f>VLOOKUP(Vlookup!B92,'CDCM Forecast Data'!$A$14:$I$271,6,FALSE)</f>
        <v>0.76513583991019607</v>
      </c>
      <c r="C127" s="4">
        <f>VLOOKUP(Vlookup!C92,'CDCM Forecast Data'!$A$14:$I$271,6,FALSE)</f>
        <v>0.58780986597120821</v>
      </c>
      <c r="D127" s="10" t="s">
        <v>262</v>
      </c>
      <c r="E127"/>
      <c r="F127"/>
      <c r="G127"/>
      <c r="H127"/>
      <c r="I127"/>
      <c r="J127"/>
      <c r="K127"/>
    </row>
    <row r="128" spans="1:11" ht="15">
      <c r="A128" s="11" t="s">
        <v>99</v>
      </c>
      <c r="B128" s="4">
        <f>VLOOKUP(Vlookup!B93,'CDCM Forecast Data'!$A$14:$I$271,6,FALSE)</f>
        <v>0.76513583991019607</v>
      </c>
      <c r="C128" s="4">
        <f>VLOOKUP(Vlookup!C93,'CDCM Forecast Data'!$A$14:$I$271,6,FALSE)</f>
        <v>0.58780986597120821</v>
      </c>
      <c r="D128" s="10"/>
      <c r="E128"/>
      <c r="F128"/>
      <c r="G128"/>
      <c r="H128"/>
      <c r="I128"/>
      <c r="J128"/>
      <c r="K128"/>
    </row>
    <row r="129" spans="1:11" ht="15">
      <c r="A129" s="11" t="s">
        <v>111</v>
      </c>
      <c r="B129" s="4">
        <f>VLOOKUP(Vlookup!B94,'CDCM Forecast Data'!$A$14:$I$271,6,FALSE)</f>
        <v>0.85096169090232854</v>
      </c>
      <c r="C129" s="4">
        <f>VLOOKUP(Vlookup!C94,'CDCM Forecast Data'!$A$14:$I$271,6,FALSE)</f>
        <v>0.73762935772845595</v>
      </c>
      <c r="D129" s="10"/>
      <c r="E129"/>
      <c r="F129"/>
      <c r="G129"/>
      <c r="H129"/>
      <c r="I129"/>
      <c r="J129"/>
      <c r="K129"/>
    </row>
    <row r="130" spans="1:11" ht="15">
      <c r="A130" s="11" t="s">
        <v>131</v>
      </c>
      <c r="B130" s="4">
        <f>VLOOKUP(Vlookup!B95,'CDCM Forecast Data'!$A$14:$I$271,6,FALSE)</f>
        <v>1</v>
      </c>
      <c r="C130" s="4">
        <f>VLOOKUP(Vlookup!C95,'CDCM Forecast Data'!$A$14:$I$271,6,FALSE)</f>
        <v>1</v>
      </c>
      <c r="D130" s="10" t="s">
        <v>262</v>
      </c>
      <c r="E130"/>
      <c r="F130"/>
      <c r="G130"/>
      <c r="H130"/>
      <c r="I130"/>
      <c r="J130"/>
      <c r="K130"/>
    </row>
    <row r="131" spans="1:11" ht="15">
      <c r="A131" s="11" t="s">
        <v>132</v>
      </c>
      <c r="B131" s="4">
        <f>VLOOKUP(Vlookup!B96,'CDCM Forecast Data'!$A$14:$I$271,6,FALSE)</f>
        <v>0.99388353345735381</v>
      </c>
      <c r="C131" s="4">
        <f>VLOOKUP(Vlookup!C96,'CDCM Forecast Data'!$A$14:$I$271,6,FALSE)</f>
        <v>0.47309957267296898</v>
      </c>
      <c r="D131" s="10"/>
      <c r="E131"/>
      <c r="F131"/>
      <c r="G131"/>
      <c r="H131"/>
      <c r="I131"/>
      <c r="J131"/>
      <c r="K131"/>
    </row>
    <row r="132" spans="1:11" ht="15">
      <c r="A132" s="11" t="s">
        <v>133</v>
      </c>
      <c r="B132" s="4">
        <f>VLOOKUP(Vlookup!B97,'CDCM Forecast Data'!$A$14:$I$271,6,FALSE)</f>
        <v>0.75050100200400804</v>
      </c>
      <c r="C132" s="4">
        <f>VLOOKUP(Vlookup!C97,'CDCM Forecast Data'!$A$14:$I$271,6,FALSE)</f>
        <v>0.24527046603861322</v>
      </c>
      <c r="D132" s="10"/>
      <c r="E132"/>
      <c r="F132"/>
      <c r="G132"/>
      <c r="H132"/>
      <c r="I132"/>
      <c r="J132"/>
      <c r="K132"/>
    </row>
    <row r="133" spans="1:11" ht="15">
      <c r="A133" s="11" t="s">
        <v>134</v>
      </c>
      <c r="B133" s="4">
        <f>VLOOKUP(Vlookup!B98,'CDCM Forecast Data'!$A$14:$I$271,6,FALSE)</f>
        <v>0</v>
      </c>
      <c r="C133" s="4">
        <f>VLOOKUP(Vlookup!C98,'CDCM Forecast Data'!$A$14:$I$271,6,FALSE)</f>
        <v>0.51417471713179308</v>
      </c>
      <c r="D133" s="10"/>
      <c r="E133"/>
      <c r="F133"/>
      <c r="G133"/>
      <c r="H133"/>
      <c r="I133"/>
      <c r="J133"/>
      <c r="K133"/>
    </row>
    <row r="134" spans="1:11" ht="15">
      <c r="A134" s="11" t="s">
        <v>135</v>
      </c>
      <c r="B134" s="4">
        <f>VLOOKUP(Vlookup!B99,'CDCM Forecast Data'!$A$14:$I$271,6,FALSE)</f>
        <v>0.97898179724204526</v>
      </c>
      <c r="C134" s="4">
        <f>VLOOKUP(Vlookup!C99,'CDCM Forecast Data'!$A$14:$I$271,6,FALSE)</f>
        <v>0.47429529311509694</v>
      </c>
      <c r="D134" s="10"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10</v>
      </c>
      <c r="C137">
        <v>11</v>
      </c>
      <c r="D137">
        <v>12</v>
      </c>
      <c r="E137">
        <v>13</v>
      </c>
      <c r="F137">
        <v>14</v>
      </c>
      <c r="G137">
        <v>15</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7" t="s">
        <v>146</v>
      </c>
      <c r="B142" s="18">
        <f>VLOOKUP(Vlookup!$B107,'CDCM Volume Forecasts'!$A$27:$AG$123,B$137,FALSE)</f>
        <v>0</v>
      </c>
      <c r="C142" s="18">
        <f>VLOOKUP(Vlookup!$B107,'CDCM Volume Forecasts'!$A$27:$AG$123,C$137,FALSE)</f>
        <v>0</v>
      </c>
      <c r="D142" s="18">
        <f>VLOOKUP(Vlookup!$B107,'CDCM Volume Forecasts'!$A$27:$AG$123,D$137,FALSE)</f>
        <v>0</v>
      </c>
      <c r="E142" s="18">
        <f>VLOOKUP(Vlookup!$B107,'CDCM Volume Forecasts'!$A$27:$AG$123,E$137,FALSE)</f>
        <v>0</v>
      </c>
      <c r="F142" s="18">
        <f>VLOOKUP(Vlookup!$B107,'CDCM Volume Forecasts'!$A$27:$AG$123,F$137,FALSE)</f>
        <v>0</v>
      </c>
      <c r="G142" s="18">
        <f>VLOOKUP(Vlookup!$B107,'CDCM Volume Forecasts'!$A$27:$AG$123,G$137,FALSE)</f>
        <v>0</v>
      </c>
      <c r="H142" s="10"/>
      <c r="I142"/>
      <c r="J142"/>
      <c r="K142"/>
    </row>
    <row r="143" spans="1:11" ht="15">
      <c r="A143" s="11" t="s">
        <v>92</v>
      </c>
      <c r="B143" s="4">
        <f>VLOOKUP(Vlookup!$B108,'CDCM Volume Forecasts'!$A$27:$AG$123,B$137,FALSE)</f>
        <v>3242264.655750392</v>
      </c>
      <c r="C143" s="8">
        <f>VLOOKUP(Vlookup!$B108,'CDCM Volume Forecasts'!$A$27:$AG$123,C$137,FALSE)</f>
        <v>0</v>
      </c>
      <c r="D143" s="8">
        <f>VLOOKUP(Vlookup!$B108,'CDCM Volume Forecasts'!$A$27:$AG$123,D$137,FALSE)</f>
        <v>0</v>
      </c>
      <c r="E143" s="14">
        <f>VLOOKUP(Vlookup!$B108,'CDCM Volume Forecasts'!$A$27:$AG$123,E$137,FALSE)</f>
        <v>964740</v>
      </c>
      <c r="F143" s="8">
        <f>VLOOKUP(Vlookup!$B108,'CDCM Volume Forecasts'!$A$27:$AG$123,F$137,FALSE)</f>
        <v>0</v>
      </c>
      <c r="G143" s="8">
        <f>VLOOKUP(Vlookup!$B108,'CDCM Volume Forecasts'!$A$27:$AG$123,G$137,FALSE)</f>
        <v>0</v>
      </c>
      <c r="H143" s="10"/>
      <c r="I143"/>
      <c r="J143"/>
      <c r="K143"/>
    </row>
    <row r="144" spans="1:11" ht="15">
      <c r="A144" s="11" t="s">
        <v>147</v>
      </c>
      <c r="B144" s="4">
        <f>VLOOKUP(Vlookup!$B109,'CDCM Volume Forecasts'!$A$27:$AG$123,B$137,FALSE)</f>
        <v>2870.3349849031706</v>
      </c>
      <c r="C144" s="8">
        <f>VLOOKUP(Vlookup!$B109,'CDCM Volume Forecasts'!$A$27:$AG$123,C$137,FALSE)</f>
        <v>0</v>
      </c>
      <c r="D144" s="8">
        <f>VLOOKUP(Vlookup!$B109,'CDCM Volume Forecasts'!$A$27:$AG$123,D$137,FALSE)</f>
        <v>0</v>
      </c>
      <c r="E144" s="14">
        <f>VLOOKUP(Vlookup!$B109,'CDCM Volume Forecasts'!$A$27:$AG$123,E$137,FALSE)</f>
        <v>893</v>
      </c>
      <c r="F144" s="8">
        <f>VLOOKUP(Vlookup!$B109,'CDCM Volume Forecasts'!$A$27:$AG$123,F$137,FALSE)</f>
        <v>0</v>
      </c>
      <c r="G144" s="8">
        <f>VLOOKUP(Vlookup!$B109,'CDCM Volume Forecasts'!$A$27:$AG$123,G$137,FALSE)</f>
        <v>0</v>
      </c>
      <c r="H144" s="10"/>
      <c r="I144"/>
      <c r="J144"/>
      <c r="K144"/>
    </row>
    <row r="145" spans="1:11" ht="15">
      <c r="A145" s="11" t="s">
        <v>148</v>
      </c>
      <c r="B145" s="4">
        <f>VLOOKUP(Vlookup!$B110,'CDCM Volume Forecasts'!$A$27:$AG$123,B$137,FALSE)</f>
        <v>11376.82714716523</v>
      </c>
      <c r="C145" s="8">
        <f>VLOOKUP(Vlookup!$B110,'CDCM Volume Forecasts'!$A$27:$AG$123,C$137,FALSE)</f>
        <v>0</v>
      </c>
      <c r="D145" s="8">
        <f>VLOOKUP(Vlookup!$B110,'CDCM Volume Forecasts'!$A$27:$AG$123,D$137,FALSE)</f>
        <v>0</v>
      </c>
      <c r="E145" s="14">
        <f>VLOOKUP(Vlookup!$B110,'CDCM Volume Forecasts'!$A$27:$AG$123,E$137,FALSE)</f>
        <v>3843</v>
      </c>
      <c r="F145" s="8">
        <f>VLOOKUP(Vlookup!$B110,'CDCM Volume Forecasts'!$A$27:$AG$123,F$137,FALSE)</f>
        <v>0</v>
      </c>
      <c r="G145" s="8">
        <f>VLOOKUP(Vlookup!$B110,'CDCM Volume Forecasts'!$A$27:$AG$123,G$137,FALSE)</f>
        <v>0</v>
      </c>
      <c r="H145" s="10"/>
      <c r="I145"/>
      <c r="J145"/>
      <c r="K145"/>
    </row>
    <row r="146" spans="1:11" ht="15">
      <c r="A146" s="17" t="s">
        <v>149</v>
      </c>
      <c r="B146" s="18">
        <f>VLOOKUP(Vlookup!$B111,'CDCM Volume Forecasts'!$A$27:$AG$123,B$137,FALSE)</f>
        <v>0</v>
      </c>
      <c r="C146" s="18">
        <f>VLOOKUP(Vlookup!$B111,'CDCM Volume Forecasts'!$A$27:$AG$123,C$137,FALSE)</f>
        <v>0</v>
      </c>
      <c r="D146" s="18">
        <f>VLOOKUP(Vlookup!$B111,'CDCM Volume Forecasts'!$A$27:$AG$123,D$137,FALSE)</f>
        <v>0</v>
      </c>
      <c r="E146" s="18">
        <f>VLOOKUP(Vlookup!$B111,'CDCM Volume Forecasts'!$A$27:$AG$123,E$137,FALSE)</f>
        <v>0</v>
      </c>
      <c r="F146" s="18">
        <f>VLOOKUP(Vlookup!$B111,'CDCM Volume Forecasts'!$A$27:$AG$123,F$137,FALSE)</f>
        <v>0</v>
      </c>
      <c r="G146" s="18">
        <f>VLOOKUP(Vlookup!$B111,'CDCM Volume Forecasts'!$A$27:$AG$123,G$137,FALSE)</f>
        <v>0</v>
      </c>
      <c r="H146" s="10"/>
      <c r="I146"/>
      <c r="J146"/>
      <c r="K146"/>
    </row>
    <row r="147" spans="1:11" ht="15">
      <c r="A147" s="11" t="s">
        <v>93</v>
      </c>
      <c r="B147" s="4">
        <f>VLOOKUP(Vlookup!$B112,'CDCM Volume Forecasts'!$A$27:$AG$123,B$137,FALSE)</f>
        <v>174847.88943573163</v>
      </c>
      <c r="C147" s="4">
        <f>VLOOKUP(Vlookup!$B112,'CDCM Volume Forecasts'!$A$27:$AG$123,C$137,FALSE)</f>
        <v>180701.55632797108</v>
      </c>
      <c r="D147" s="8">
        <f>VLOOKUP(Vlookup!$B112,'CDCM Volume Forecasts'!$A$27:$AG$123,D$137,FALSE)</f>
        <v>0</v>
      </c>
      <c r="E147" s="14">
        <f>VLOOKUP(Vlookup!$B112,'CDCM Volume Forecasts'!$A$27:$AG$123,E$137,FALSE)</f>
        <v>58083</v>
      </c>
      <c r="F147" s="8">
        <f>VLOOKUP(Vlookup!$B112,'CDCM Volume Forecasts'!$A$27:$AG$123,F$137,FALSE)</f>
        <v>0</v>
      </c>
      <c r="G147" s="8">
        <f>VLOOKUP(Vlookup!$B112,'CDCM Volume Forecasts'!$A$27:$AG$123,G$137,FALSE)</f>
        <v>0</v>
      </c>
      <c r="H147" s="10"/>
      <c r="I147"/>
      <c r="J147"/>
      <c r="K147"/>
    </row>
    <row r="148" spans="1:11" ht="15">
      <c r="A148" s="11" t="s">
        <v>150</v>
      </c>
      <c r="B148" s="4">
        <f>VLOOKUP(Vlookup!$B113,'CDCM Volume Forecasts'!$A$27:$AG$123,B$137,FALSE)</f>
        <v>262.98719224025433</v>
      </c>
      <c r="C148" s="4">
        <f>VLOOKUP(Vlookup!$B113,'CDCM Volume Forecasts'!$A$27:$AG$123,C$137,FALSE)</f>
        <v>6585.6695296550351</v>
      </c>
      <c r="D148" s="8">
        <f>VLOOKUP(Vlookup!$B113,'CDCM Volume Forecasts'!$A$27:$AG$123,D$137,FALSE)</f>
        <v>0</v>
      </c>
      <c r="E148" s="14">
        <f>VLOOKUP(Vlookup!$B113,'CDCM Volume Forecasts'!$A$27:$AG$123,E$137,FALSE)</f>
        <v>21</v>
      </c>
      <c r="F148" s="8">
        <f>VLOOKUP(Vlookup!$B113,'CDCM Volume Forecasts'!$A$27:$AG$123,F$137,FALSE)</f>
        <v>0</v>
      </c>
      <c r="G148" s="8">
        <f>VLOOKUP(Vlookup!$B113,'CDCM Volume Forecasts'!$A$27:$AG$123,G$137,FALSE)</f>
        <v>0</v>
      </c>
      <c r="H148" s="10"/>
      <c r="I148"/>
      <c r="J148"/>
      <c r="K148"/>
    </row>
    <row r="149" spans="1:11" ht="15">
      <c r="A149" s="11" t="s">
        <v>151</v>
      </c>
      <c r="B149" s="4">
        <f>VLOOKUP(Vlookup!$B114,'CDCM Volume Forecasts'!$A$27:$AG$123,B$137,FALSE)</f>
        <v>256.3006220521292</v>
      </c>
      <c r="C149" s="4">
        <f>VLOOKUP(Vlookup!$B114,'CDCM Volume Forecasts'!$A$27:$AG$123,C$137,FALSE)</f>
        <v>349.8743055243375</v>
      </c>
      <c r="D149" s="8">
        <f>VLOOKUP(Vlookup!$B114,'CDCM Volume Forecasts'!$A$27:$AG$123,D$137,FALSE)</f>
        <v>0</v>
      </c>
      <c r="E149" s="14">
        <f>VLOOKUP(Vlookup!$B114,'CDCM Volume Forecasts'!$A$27:$AG$123,E$137,FALSE)</f>
        <v>80</v>
      </c>
      <c r="F149" s="8">
        <f>VLOOKUP(Vlookup!$B114,'CDCM Volume Forecasts'!$A$27:$AG$123,F$137,FALSE)</f>
        <v>0</v>
      </c>
      <c r="G149" s="8">
        <f>VLOOKUP(Vlookup!$B114,'CDCM Volume Forecasts'!$A$27:$AG$123,G$137,FALSE)</f>
        <v>0</v>
      </c>
      <c r="H149" s="10"/>
      <c r="I149"/>
      <c r="J149"/>
      <c r="K149"/>
    </row>
    <row r="150" spans="1:11" ht="15">
      <c r="A150" s="17" t="s">
        <v>152</v>
      </c>
      <c r="B150" s="18">
        <f>VLOOKUP(Vlookup!$B115,'CDCM Volume Forecasts'!$A$27:$AG$123,B$137,FALSE)</f>
        <v>0</v>
      </c>
      <c r="C150" s="18">
        <f>VLOOKUP(Vlookup!$B115,'CDCM Volume Forecasts'!$A$27:$AG$123,C$137,FALSE)</f>
        <v>0</v>
      </c>
      <c r="D150" s="18">
        <f>VLOOKUP(Vlookup!$B115,'CDCM Volume Forecasts'!$A$27:$AG$123,D$137,FALSE)</f>
        <v>0</v>
      </c>
      <c r="E150" s="18">
        <f>VLOOKUP(Vlookup!$B115,'CDCM Volume Forecasts'!$A$27:$AG$123,E$137,FALSE)</f>
        <v>0</v>
      </c>
      <c r="F150" s="18">
        <f>VLOOKUP(Vlookup!$B115,'CDCM Volume Forecasts'!$A$27:$AG$123,F$137,FALSE)</f>
        <v>0</v>
      </c>
      <c r="G150" s="18">
        <f>VLOOKUP(Vlookup!$B115,'CDCM Volume Forecasts'!$A$27:$AG$123,G$137,FALSE)</f>
        <v>0</v>
      </c>
      <c r="H150" s="10"/>
      <c r="I150"/>
      <c r="J150"/>
      <c r="K150"/>
    </row>
    <row r="151" spans="1:11" ht="15">
      <c r="A151" s="11" t="s">
        <v>129</v>
      </c>
      <c r="B151" s="4">
        <f>VLOOKUP(Vlookup!$B116,'CDCM Volume Forecasts'!$A$27:$AG$123,B$137,FALSE)</f>
        <v>3613.1440975729997</v>
      </c>
      <c r="C151" s="8">
        <f>VLOOKUP(Vlookup!$B116,'CDCM Volume Forecasts'!$A$27:$AG$123,C$137,FALSE)</f>
        <v>0</v>
      </c>
      <c r="D151" s="8">
        <f>VLOOKUP(Vlookup!$B116,'CDCM Volume Forecasts'!$A$27:$AG$123,D$137,FALSE)</f>
        <v>0</v>
      </c>
      <c r="E151" s="14">
        <f>VLOOKUP(Vlookup!$B116,'CDCM Volume Forecasts'!$A$27:$AG$123,E$137,FALSE)</f>
        <v>0</v>
      </c>
      <c r="F151" s="8">
        <f>VLOOKUP(Vlookup!$B116,'CDCM Volume Forecasts'!$A$27:$AG$123,F$137,FALSE)</f>
        <v>0</v>
      </c>
      <c r="G151" s="8">
        <f>VLOOKUP(Vlookup!$B116,'CDCM Volume Forecasts'!$A$27:$AG$123,G$137,FALSE)</f>
        <v>0</v>
      </c>
      <c r="H151" s="10"/>
      <c r="I151"/>
      <c r="J151"/>
      <c r="K151"/>
    </row>
    <row r="152" spans="1:11" ht="15">
      <c r="A152" s="11" t="s">
        <v>153</v>
      </c>
      <c r="B152" s="4">
        <f>VLOOKUP(Vlookup!$B117,'CDCM Volume Forecasts'!$A$27:$AG$123,B$137,FALSE)</f>
        <v>0</v>
      </c>
      <c r="C152" s="8">
        <f>VLOOKUP(Vlookup!$B117,'CDCM Volume Forecasts'!$A$27:$AG$123,C$137,FALSE)</f>
        <v>0</v>
      </c>
      <c r="D152" s="8">
        <f>VLOOKUP(Vlookup!$B117,'CDCM Volume Forecasts'!$A$27:$AG$123,D$137,FALSE)</f>
        <v>0</v>
      </c>
      <c r="E152" s="14">
        <f>VLOOKUP(Vlookup!$B117,'CDCM Volume Forecasts'!$A$27:$AG$123,E$137,FALSE)</f>
        <v>0</v>
      </c>
      <c r="F152" s="8">
        <f>VLOOKUP(Vlookup!$B117,'CDCM Volume Forecasts'!$A$27:$AG$123,F$137,FALSE)</f>
        <v>0</v>
      </c>
      <c r="G152" s="8">
        <f>VLOOKUP(Vlookup!$B117,'CDCM Volume Forecasts'!$A$27:$AG$123,G$137,FALSE)</f>
        <v>0</v>
      </c>
      <c r="H152" s="10"/>
      <c r="I152"/>
      <c r="J152"/>
      <c r="K152"/>
    </row>
    <row r="153" spans="1:11" ht="15">
      <c r="A153" s="11" t="s">
        <v>154</v>
      </c>
      <c r="B153" s="4">
        <f>VLOOKUP(Vlookup!$B118,'CDCM Volume Forecasts'!$A$27:$AG$123,B$137,FALSE)</f>
        <v>0</v>
      </c>
      <c r="C153" s="8">
        <f>VLOOKUP(Vlookup!$B118,'CDCM Volume Forecasts'!$A$27:$AG$123,C$137,FALSE)</f>
        <v>0</v>
      </c>
      <c r="D153" s="8">
        <f>VLOOKUP(Vlookup!$B118,'CDCM Volume Forecasts'!$A$27:$AG$123,D$137,FALSE)</f>
        <v>0</v>
      </c>
      <c r="E153" s="14">
        <f>VLOOKUP(Vlookup!$B118,'CDCM Volume Forecasts'!$A$27:$AG$123,E$137,FALSE)</f>
        <v>0</v>
      </c>
      <c r="F153" s="8">
        <f>VLOOKUP(Vlookup!$B118,'CDCM Volume Forecasts'!$A$27:$AG$123,F$137,FALSE)</f>
        <v>0</v>
      </c>
      <c r="G153" s="8">
        <f>VLOOKUP(Vlookup!$B118,'CDCM Volume Forecasts'!$A$27:$AG$123,G$137,FALSE)</f>
        <v>0</v>
      </c>
      <c r="H153" s="10"/>
      <c r="I153"/>
      <c r="J153"/>
      <c r="K153"/>
    </row>
    <row r="154" spans="1:11" ht="15">
      <c r="A154" s="17" t="s">
        <v>155</v>
      </c>
      <c r="B154" s="18">
        <f>VLOOKUP(Vlookup!$B119,'CDCM Volume Forecasts'!$A$27:$AG$123,B$137,FALSE)</f>
        <v>0</v>
      </c>
      <c r="C154" s="18">
        <f>VLOOKUP(Vlookup!$B119,'CDCM Volume Forecasts'!$A$27:$AG$123,C$137,FALSE)</f>
        <v>0</v>
      </c>
      <c r="D154" s="18">
        <f>VLOOKUP(Vlookup!$B119,'CDCM Volume Forecasts'!$A$27:$AG$123,D$137,FALSE)</f>
        <v>0</v>
      </c>
      <c r="E154" s="18">
        <f>VLOOKUP(Vlookup!$B119,'CDCM Volume Forecasts'!$A$27:$AG$123,E$137,FALSE)</f>
        <v>0</v>
      </c>
      <c r="F154" s="18">
        <f>VLOOKUP(Vlookup!$B119,'CDCM Volume Forecasts'!$A$27:$AG$123,F$137,FALSE)</f>
        <v>0</v>
      </c>
      <c r="G154" s="18">
        <f>VLOOKUP(Vlookup!$B119,'CDCM Volume Forecasts'!$A$27:$AG$123,G$137,FALSE)</f>
        <v>0</v>
      </c>
      <c r="H154" s="10"/>
      <c r="I154"/>
      <c r="J154"/>
      <c r="K154"/>
    </row>
    <row r="155" spans="1:11" ht="15">
      <c r="A155" s="11" t="s">
        <v>94</v>
      </c>
      <c r="B155" s="4">
        <f>VLOOKUP(Vlookup!$B120,'CDCM Volume Forecasts'!$A$27:$AG$123,B$137,FALSE)</f>
        <v>823197.95863007847</v>
      </c>
      <c r="C155" s="8">
        <f>VLOOKUP(Vlookup!$B120,'CDCM Volume Forecasts'!$A$27:$AG$123,C$137,FALSE)</f>
        <v>0</v>
      </c>
      <c r="D155" s="8">
        <f>VLOOKUP(Vlookup!$B120,'CDCM Volume Forecasts'!$A$27:$AG$123,D$137,FALSE)</f>
        <v>0</v>
      </c>
      <c r="E155" s="14">
        <f>VLOOKUP(Vlookup!$B120,'CDCM Volume Forecasts'!$A$27:$AG$123,E$137,FALSE)</f>
        <v>63787</v>
      </c>
      <c r="F155" s="8">
        <f>VLOOKUP(Vlookup!$B120,'CDCM Volume Forecasts'!$A$27:$AG$123,F$137,FALSE)</f>
        <v>0</v>
      </c>
      <c r="G155" s="8">
        <f>VLOOKUP(Vlookup!$B120,'CDCM Volume Forecasts'!$A$27:$AG$123,G$137,FALSE)</f>
        <v>0</v>
      </c>
      <c r="H155" s="10"/>
      <c r="I155"/>
      <c r="J155"/>
      <c r="K155"/>
    </row>
    <row r="156" spans="1:11" ht="15">
      <c r="A156" s="11" t="s">
        <v>156</v>
      </c>
      <c r="B156" s="4">
        <f>VLOOKUP(Vlookup!$B121,'CDCM Volume Forecasts'!$A$27:$AG$123,B$137,FALSE)</f>
        <v>56.743614639178105</v>
      </c>
      <c r="C156" s="8">
        <f>VLOOKUP(Vlookup!$B121,'CDCM Volume Forecasts'!$A$27:$AG$123,C$137,FALSE)</f>
        <v>0</v>
      </c>
      <c r="D156" s="8">
        <f>VLOOKUP(Vlookup!$B121,'CDCM Volume Forecasts'!$A$27:$AG$123,D$137,FALSE)</f>
        <v>0</v>
      </c>
      <c r="E156" s="14">
        <f>VLOOKUP(Vlookup!$B121,'CDCM Volume Forecasts'!$A$27:$AG$123,E$137,FALSE)</f>
        <v>4</v>
      </c>
      <c r="F156" s="8">
        <f>VLOOKUP(Vlookup!$B121,'CDCM Volume Forecasts'!$A$27:$AG$123,F$137,FALSE)</f>
        <v>0</v>
      </c>
      <c r="G156" s="8">
        <f>VLOOKUP(Vlookup!$B121,'CDCM Volume Forecasts'!$A$27:$AG$123,G$137,FALSE)</f>
        <v>0</v>
      </c>
      <c r="H156" s="10"/>
      <c r="I156"/>
      <c r="J156"/>
      <c r="K156"/>
    </row>
    <row r="157" spans="1:11" ht="15">
      <c r="A157" s="11" t="s">
        <v>157</v>
      </c>
      <c r="B157" s="4">
        <f>VLOOKUP(Vlookup!$B122,'CDCM Volume Forecasts'!$A$27:$AG$123,B$137,FALSE)</f>
        <v>2717.0896874333912</v>
      </c>
      <c r="C157" s="8">
        <f>VLOOKUP(Vlookup!$B122,'CDCM Volume Forecasts'!$A$27:$AG$123,C$137,FALSE)</f>
        <v>0</v>
      </c>
      <c r="D157" s="8">
        <f>VLOOKUP(Vlookup!$B122,'CDCM Volume Forecasts'!$A$27:$AG$123,D$137,FALSE)</f>
        <v>0</v>
      </c>
      <c r="E157" s="14">
        <f>VLOOKUP(Vlookup!$B122,'CDCM Volume Forecasts'!$A$27:$AG$123,E$137,FALSE)</f>
        <v>110</v>
      </c>
      <c r="F157" s="8">
        <f>VLOOKUP(Vlookup!$B122,'CDCM Volume Forecasts'!$A$27:$AG$123,F$137,FALSE)</f>
        <v>0</v>
      </c>
      <c r="G157" s="8">
        <f>VLOOKUP(Vlookup!$B122,'CDCM Volume Forecasts'!$A$27:$AG$123,G$137,FALSE)</f>
        <v>0</v>
      </c>
      <c r="H157" s="10"/>
      <c r="I157"/>
      <c r="J157"/>
      <c r="K157"/>
    </row>
    <row r="158" spans="1:11" ht="15">
      <c r="A158" s="17" t="s">
        <v>158</v>
      </c>
      <c r="B158" s="18">
        <f>VLOOKUP(Vlookup!$B123,'CDCM Volume Forecasts'!$A$27:$AG$123,B$137,FALSE)</f>
        <v>0</v>
      </c>
      <c r="C158" s="18">
        <f>VLOOKUP(Vlookup!$B123,'CDCM Volume Forecasts'!$A$27:$AG$123,C$137,FALSE)</f>
        <v>0</v>
      </c>
      <c r="D158" s="18">
        <f>VLOOKUP(Vlookup!$B123,'CDCM Volume Forecasts'!$A$27:$AG$123,D$137,FALSE)</f>
        <v>0</v>
      </c>
      <c r="E158" s="18">
        <f>VLOOKUP(Vlookup!$B123,'CDCM Volume Forecasts'!$A$27:$AG$123,E$137,FALSE)</f>
        <v>0</v>
      </c>
      <c r="F158" s="18">
        <f>VLOOKUP(Vlookup!$B123,'CDCM Volume Forecasts'!$A$27:$AG$123,F$137,FALSE)</f>
        <v>0</v>
      </c>
      <c r="G158" s="18">
        <f>VLOOKUP(Vlookup!$B123,'CDCM Volume Forecasts'!$A$27:$AG$123,G$137,FALSE)</f>
        <v>0</v>
      </c>
      <c r="H158" s="10"/>
      <c r="I158"/>
      <c r="J158"/>
      <c r="K158"/>
    </row>
    <row r="159" spans="1:11" ht="15">
      <c r="A159" s="11" t="s">
        <v>95</v>
      </c>
      <c r="B159" s="4">
        <f>VLOOKUP(Vlookup!$B124,'CDCM Volume Forecasts'!$A$27:$AG$123,B$137,FALSE)</f>
        <v>206801.40932707267</v>
      </c>
      <c r="C159" s="4">
        <f>VLOOKUP(Vlookup!$B124,'CDCM Volume Forecasts'!$A$27:$AG$123,C$137,FALSE)</f>
        <v>92825.537560705707</v>
      </c>
      <c r="D159" s="8">
        <f>VLOOKUP(Vlookup!$B124,'CDCM Volume Forecasts'!$A$27:$AG$123,D$137,FALSE)</f>
        <v>0</v>
      </c>
      <c r="E159" s="14">
        <f>VLOOKUP(Vlookup!$B124,'CDCM Volume Forecasts'!$A$27:$AG$123,E$137,FALSE)</f>
        <v>13441</v>
      </c>
      <c r="F159" s="8">
        <f>VLOOKUP(Vlookup!$B124,'CDCM Volume Forecasts'!$A$27:$AG$123,F$137,FALSE)</f>
        <v>0</v>
      </c>
      <c r="G159" s="8">
        <f>VLOOKUP(Vlookup!$B124,'CDCM Volume Forecasts'!$A$27:$AG$123,G$137,FALSE)</f>
        <v>0</v>
      </c>
      <c r="H159" s="10"/>
      <c r="I159"/>
      <c r="J159"/>
      <c r="K159"/>
    </row>
    <row r="160" spans="1:11" ht="15">
      <c r="A160" s="11" t="s">
        <v>159</v>
      </c>
      <c r="B160" s="4">
        <f>VLOOKUP(Vlookup!$B125,'CDCM Volume Forecasts'!$A$27:$AG$123,B$137,FALSE)</f>
        <v>0</v>
      </c>
      <c r="C160" s="4">
        <f>VLOOKUP(Vlookup!$B125,'CDCM Volume Forecasts'!$A$27:$AG$123,C$137,FALSE)</f>
        <v>0</v>
      </c>
      <c r="D160" s="8">
        <f>VLOOKUP(Vlookup!$B125,'CDCM Volume Forecasts'!$A$27:$AG$123,D$137,FALSE)</f>
        <v>0</v>
      </c>
      <c r="E160" s="14">
        <f>VLOOKUP(Vlookup!$B125,'CDCM Volume Forecasts'!$A$27:$AG$123,E$137,FALSE)</f>
        <v>0</v>
      </c>
      <c r="F160" s="8">
        <f>VLOOKUP(Vlookup!$B125,'CDCM Volume Forecasts'!$A$27:$AG$123,F$137,FALSE)</f>
        <v>0</v>
      </c>
      <c r="G160" s="8">
        <f>VLOOKUP(Vlookup!$B125,'CDCM Volume Forecasts'!$A$27:$AG$123,G$137,FALSE)</f>
        <v>0</v>
      </c>
      <c r="H160" s="10"/>
      <c r="I160"/>
      <c r="J160"/>
      <c r="K160"/>
    </row>
    <row r="161" spans="1:11" ht="15">
      <c r="A161" s="11" t="s">
        <v>160</v>
      </c>
      <c r="B161" s="4">
        <f>VLOOKUP(Vlookup!$B126,'CDCM Volume Forecasts'!$A$27:$AG$123,B$137,FALSE)</f>
        <v>845.42130757211385</v>
      </c>
      <c r="C161" s="4">
        <f>VLOOKUP(Vlookup!$B126,'CDCM Volume Forecasts'!$A$27:$AG$123,C$137,FALSE)</f>
        <v>110.3044954465786</v>
      </c>
      <c r="D161" s="8">
        <f>VLOOKUP(Vlookup!$B126,'CDCM Volume Forecasts'!$A$27:$AG$123,D$137,FALSE)</f>
        <v>0</v>
      </c>
      <c r="E161" s="14">
        <f>VLOOKUP(Vlookup!$B126,'CDCM Volume Forecasts'!$A$27:$AG$123,E$137,FALSE)</f>
        <v>9</v>
      </c>
      <c r="F161" s="8">
        <f>VLOOKUP(Vlookup!$B126,'CDCM Volume Forecasts'!$A$27:$AG$123,F$137,FALSE)</f>
        <v>0</v>
      </c>
      <c r="G161" s="8">
        <f>VLOOKUP(Vlookup!$B126,'CDCM Volume Forecasts'!$A$27:$AG$123,G$137,FALSE)</f>
        <v>0</v>
      </c>
      <c r="H161" s="10"/>
      <c r="I161"/>
      <c r="J161"/>
      <c r="K161"/>
    </row>
    <row r="162" spans="1:11" ht="15">
      <c r="A162" s="17" t="s">
        <v>161</v>
      </c>
      <c r="B162" s="18">
        <f>VLOOKUP(Vlookup!$B127,'CDCM Volume Forecasts'!$A$27:$AG$123,B$137,FALSE)</f>
        <v>0</v>
      </c>
      <c r="C162" s="18">
        <f>VLOOKUP(Vlookup!$B127,'CDCM Volume Forecasts'!$A$27:$AG$123,C$137,FALSE)</f>
        <v>0</v>
      </c>
      <c r="D162" s="18">
        <f>VLOOKUP(Vlookup!$B127,'CDCM Volume Forecasts'!$A$27:$AG$123,D$137,FALSE)</f>
        <v>0</v>
      </c>
      <c r="E162" s="18">
        <f>VLOOKUP(Vlookup!$B127,'CDCM Volume Forecasts'!$A$27:$AG$123,E$137,FALSE)</f>
        <v>0</v>
      </c>
      <c r="F162" s="18">
        <f>VLOOKUP(Vlookup!$B127,'CDCM Volume Forecasts'!$A$27:$AG$123,F$137,FALSE)</f>
        <v>0</v>
      </c>
      <c r="G162" s="18">
        <f>VLOOKUP(Vlookup!$B127,'CDCM Volume Forecasts'!$A$27:$AG$123,G$137,FALSE)</f>
        <v>0</v>
      </c>
      <c r="H162" s="10"/>
      <c r="I162"/>
      <c r="J162"/>
      <c r="K162"/>
    </row>
    <row r="163" spans="1:11" ht="15">
      <c r="A163" s="11" t="s">
        <v>130</v>
      </c>
      <c r="B163" s="4">
        <f>VLOOKUP(Vlookup!$B128,'CDCM Volume Forecasts'!$A$27:$AG$123,B$137,FALSE)</f>
        <v>2262.2093594051807</v>
      </c>
      <c r="C163" s="8">
        <f>VLOOKUP(Vlookup!$B128,'CDCM Volume Forecasts'!$A$27:$AG$123,C$137,FALSE)</f>
        <v>0</v>
      </c>
      <c r="D163" s="8">
        <f>VLOOKUP(Vlookup!$B128,'CDCM Volume Forecasts'!$A$27:$AG$123,D$137,FALSE)</f>
        <v>0</v>
      </c>
      <c r="E163" s="14">
        <f>VLOOKUP(Vlookup!$B128,'CDCM Volume Forecasts'!$A$27:$AG$123,E$137,FALSE)</f>
        <v>0</v>
      </c>
      <c r="F163" s="8">
        <f>VLOOKUP(Vlookup!$B128,'CDCM Volume Forecasts'!$A$27:$AG$123,F$137,FALSE)</f>
        <v>0</v>
      </c>
      <c r="G163" s="8">
        <f>VLOOKUP(Vlookup!$B128,'CDCM Volume Forecasts'!$A$27:$AG$123,G$137,FALSE)</f>
        <v>0</v>
      </c>
      <c r="H163" s="10"/>
      <c r="I163"/>
      <c r="J163"/>
      <c r="K163"/>
    </row>
    <row r="164" spans="1:11" ht="30">
      <c r="A164" s="11" t="s">
        <v>162</v>
      </c>
      <c r="B164" s="4">
        <f>VLOOKUP(Vlookup!$B129,'CDCM Volume Forecasts'!$A$27:$AG$123,B$137,FALSE)</f>
        <v>0</v>
      </c>
      <c r="C164" s="8">
        <f>VLOOKUP(Vlookup!$B129,'CDCM Volume Forecasts'!$A$27:$AG$123,C$137,FALSE)</f>
        <v>0</v>
      </c>
      <c r="D164" s="8">
        <f>VLOOKUP(Vlookup!$B129,'CDCM Volume Forecasts'!$A$27:$AG$123,D$137,FALSE)</f>
        <v>0</v>
      </c>
      <c r="E164" s="14">
        <f>VLOOKUP(Vlookup!$B129,'CDCM Volume Forecasts'!$A$27:$AG$123,E$137,FALSE)</f>
        <v>0</v>
      </c>
      <c r="F164" s="8">
        <f>VLOOKUP(Vlookup!$B129,'CDCM Volume Forecasts'!$A$27:$AG$123,F$137,FALSE)</f>
        <v>0</v>
      </c>
      <c r="G164" s="8">
        <f>VLOOKUP(Vlookup!$B129,'CDCM Volume Forecasts'!$A$27:$AG$123,G$137,FALSE)</f>
        <v>0</v>
      </c>
      <c r="H164" s="10"/>
      <c r="I164"/>
      <c r="J164"/>
      <c r="K164"/>
    </row>
    <row r="165" spans="1:11" ht="30">
      <c r="A165" s="11" t="s">
        <v>163</v>
      </c>
      <c r="B165" s="4">
        <f>VLOOKUP(Vlookup!$B130,'CDCM Volume Forecasts'!$A$27:$AG$123,B$137,FALSE)</f>
        <v>0</v>
      </c>
      <c r="C165" s="8">
        <f>VLOOKUP(Vlookup!$B130,'CDCM Volume Forecasts'!$A$27:$AG$123,C$137,FALSE)</f>
        <v>0</v>
      </c>
      <c r="D165" s="8">
        <f>VLOOKUP(Vlookup!$B130,'CDCM Volume Forecasts'!$A$27:$AG$123,D$137,FALSE)</f>
        <v>0</v>
      </c>
      <c r="E165" s="14">
        <f>VLOOKUP(Vlookup!$B130,'CDCM Volume Forecasts'!$A$27:$AG$123,E$137,FALSE)</f>
        <v>0</v>
      </c>
      <c r="F165" s="8">
        <f>VLOOKUP(Vlookup!$B130,'CDCM Volume Forecasts'!$A$27:$AG$123,F$137,FALSE)</f>
        <v>0</v>
      </c>
      <c r="G165" s="8">
        <f>VLOOKUP(Vlookup!$B130,'CDCM Volume Forecasts'!$A$27:$AG$123,G$137,FALSE)</f>
        <v>0</v>
      </c>
      <c r="H165" s="10"/>
      <c r="I165"/>
      <c r="J165"/>
      <c r="K165"/>
    </row>
    <row r="166" spans="1:11" ht="15">
      <c r="A166" s="17" t="s">
        <v>164</v>
      </c>
      <c r="B166" s="18">
        <f>VLOOKUP(Vlookup!$B131,'CDCM Volume Forecasts'!$A$27:$AG$123,B$137,FALSE)</f>
        <v>0</v>
      </c>
      <c r="C166" s="18">
        <f>VLOOKUP(Vlookup!$B131,'CDCM Volume Forecasts'!$A$27:$AG$123,C$137,FALSE)</f>
        <v>0</v>
      </c>
      <c r="D166" s="18">
        <f>VLOOKUP(Vlookup!$B131,'CDCM Volume Forecasts'!$A$27:$AG$123,D$137,FALSE)</f>
        <v>0</v>
      </c>
      <c r="E166" s="18">
        <f>VLOOKUP(Vlookup!$B131,'CDCM Volume Forecasts'!$A$27:$AG$123,E$137,FALSE)</f>
        <v>0</v>
      </c>
      <c r="F166" s="18">
        <f>VLOOKUP(Vlookup!$B131,'CDCM Volume Forecasts'!$A$27:$AG$123,F$137,FALSE)</f>
        <v>0</v>
      </c>
      <c r="G166" s="18">
        <f>VLOOKUP(Vlookup!$B131,'CDCM Volume Forecasts'!$A$27:$AG$123,G$137,FALSE)</f>
        <v>0</v>
      </c>
      <c r="H166" s="10"/>
      <c r="I166"/>
      <c r="J166"/>
      <c r="K166"/>
    </row>
    <row r="167" spans="1:11" ht="15">
      <c r="A167" s="11" t="s">
        <v>96</v>
      </c>
      <c r="B167" s="4">
        <f>VLOOKUP(Vlookup!$B132,'CDCM Volume Forecasts'!$A$27:$AG$123,B$137,FALSE)</f>
        <v>379857.67107737559</v>
      </c>
      <c r="C167" s="4">
        <f>VLOOKUP(Vlookup!$B132,'CDCM Volume Forecasts'!$A$27:$AG$123,C$137,FALSE)</f>
        <v>99896.639824048034</v>
      </c>
      <c r="D167" s="8">
        <f>VLOOKUP(Vlookup!$B132,'CDCM Volume Forecasts'!$A$27:$AG$123,D$137,FALSE)</f>
        <v>0</v>
      </c>
      <c r="E167" s="14">
        <f>VLOOKUP(Vlookup!$B132,'CDCM Volume Forecasts'!$A$27:$AG$123,E$137,FALSE)</f>
        <v>4728</v>
      </c>
      <c r="F167" s="8">
        <f>VLOOKUP(Vlookup!$B132,'CDCM Volume Forecasts'!$A$27:$AG$123,F$137,FALSE)</f>
        <v>0</v>
      </c>
      <c r="G167" s="8">
        <f>VLOOKUP(Vlookup!$B132,'CDCM Volume Forecasts'!$A$27:$AG$123,G$137,FALSE)</f>
        <v>0</v>
      </c>
      <c r="H167" s="10"/>
      <c r="I167"/>
      <c r="J167"/>
      <c r="K167"/>
    </row>
    <row r="168" spans="1:11" ht="15">
      <c r="A168" s="11" t="s">
        <v>165</v>
      </c>
      <c r="B168" s="4">
        <f>VLOOKUP(Vlookup!$B133,'CDCM Volume Forecasts'!$A$27:$AG$123,B$137,FALSE)</f>
        <v>0</v>
      </c>
      <c r="C168" s="4">
        <f>VLOOKUP(Vlookup!$B133,'CDCM Volume Forecasts'!$A$27:$AG$123,C$137,FALSE)</f>
        <v>0</v>
      </c>
      <c r="D168" s="8">
        <f>VLOOKUP(Vlookup!$B133,'CDCM Volume Forecasts'!$A$27:$AG$123,D$137,FALSE)</f>
        <v>0</v>
      </c>
      <c r="E168" s="14">
        <f>VLOOKUP(Vlookup!$B133,'CDCM Volume Forecasts'!$A$27:$AG$123,E$137,FALSE)</f>
        <v>0</v>
      </c>
      <c r="F168" s="8">
        <f>VLOOKUP(Vlookup!$B133,'CDCM Volume Forecasts'!$A$27:$AG$123,F$137,FALSE)</f>
        <v>0</v>
      </c>
      <c r="G168" s="8">
        <f>VLOOKUP(Vlookup!$B133,'CDCM Volume Forecasts'!$A$27:$AG$123,G$137,FALSE)</f>
        <v>0</v>
      </c>
      <c r="H168" s="10"/>
      <c r="I168"/>
      <c r="J168"/>
      <c r="K168"/>
    </row>
    <row r="169" spans="1:11" ht="15">
      <c r="A169" s="11" t="s">
        <v>166</v>
      </c>
      <c r="B169" s="4">
        <f>VLOOKUP(Vlookup!$B134,'CDCM Volume Forecasts'!$A$27:$AG$123,B$137,FALSE)</f>
        <v>1094.445243350247</v>
      </c>
      <c r="C169" s="4">
        <f>VLOOKUP(Vlookup!$B134,'CDCM Volume Forecasts'!$A$27:$AG$123,C$137,FALSE)</f>
        <v>144.85382852920503</v>
      </c>
      <c r="D169" s="8">
        <f>VLOOKUP(Vlookup!$B134,'CDCM Volume Forecasts'!$A$27:$AG$123,D$137,FALSE)</f>
        <v>0</v>
      </c>
      <c r="E169" s="14">
        <f>VLOOKUP(Vlookup!$B134,'CDCM Volume Forecasts'!$A$27:$AG$123,E$137,FALSE)</f>
        <v>10</v>
      </c>
      <c r="F169" s="8">
        <f>VLOOKUP(Vlookup!$B134,'CDCM Volume Forecasts'!$A$27:$AG$123,F$137,FALSE)</f>
        <v>0</v>
      </c>
      <c r="G169" s="8">
        <f>VLOOKUP(Vlookup!$B134,'CDCM Volume Forecasts'!$A$27:$AG$123,G$137,FALSE)</f>
        <v>0</v>
      </c>
      <c r="H169" s="10"/>
      <c r="I169"/>
      <c r="J169"/>
      <c r="K169"/>
    </row>
    <row r="170" spans="1:11" ht="15">
      <c r="A170" s="17" t="s">
        <v>167</v>
      </c>
      <c r="B170" s="18">
        <f>VLOOKUP(Vlookup!$B135,'CDCM Volume Forecasts'!$A$27:$AG$123,B$137,FALSE)</f>
        <v>0</v>
      </c>
      <c r="C170" s="18">
        <f>VLOOKUP(Vlookup!$B135,'CDCM Volume Forecasts'!$A$27:$AG$123,C$137,FALSE)</f>
        <v>0</v>
      </c>
      <c r="D170" s="18">
        <f>VLOOKUP(Vlookup!$B135,'CDCM Volume Forecasts'!$A$27:$AG$123,D$137,FALSE)</f>
        <v>0</v>
      </c>
      <c r="E170" s="18">
        <f>VLOOKUP(Vlookup!$B135,'CDCM Volume Forecasts'!$A$27:$AG$123,E$137,FALSE)</f>
        <v>0</v>
      </c>
      <c r="F170" s="18">
        <f>VLOOKUP(Vlookup!$B135,'CDCM Volume Forecasts'!$A$27:$AG$123,F$137,FALSE)</f>
        <v>0</v>
      </c>
      <c r="G170" s="18">
        <f>VLOOKUP(Vlookup!$B135,'CDCM Volume Forecasts'!$A$27:$AG$123,G$137,FALSE)</f>
        <v>0</v>
      </c>
      <c r="H170" s="10"/>
      <c r="I170"/>
      <c r="J170"/>
      <c r="K170"/>
    </row>
    <row r="171" spans="1:11" ht="15">
      <c r="A171" s="11" t="s">
        <v>97</v>
      </c>
      <c r="B171" s="4">
        <f>VLOOKUP(Vlookup!$B136,'CDCM Volume Forecasts'!$A$27:$AG$123,B$137,FALSE)</f>
        <v>517.04045501631606</v>
      </c>
      <c r="C171" s="4">
        <f>VLOOKUP(Vlookup!$B136,'CDCM Volume Forecasts'!$A$27:$AG$123,C$137,FALSE)</f>
        <v>136.89783135294002</v>
      </c>
      <c r="D171" s="8">
        <f>VLOOKUP(Vlookup!$B136,'CDCM Volume Forecasts'!$A$27:$AG$123,D$137,FALSE)</f>
        <v>0</v>
      </c>
      <c r="E171" s="14">
        <f>VLOOKUP(Vlookup!$B136,'CDCM Volume Forecasts'!$A$27:$AG$123,E$137,FALSE)</f>
        <v>4</v>
      </c>
      <c r="F171" s="8">
        <f>VLOOKUP(Vlookup!$B136,'CDCM Volume Forecasts'!$A$27:$AG$123,F$137,FALSE)</f>
        <v>0</v>
      </c>
      <c r="G171" s="8">
        <f>VLOOKUP(Vlookup!$B136,'CDCM Volume Forecasts'!$A$27:$AG$123,G$137,FALSE)</f>
        <v>0</v>
      </c>
      <c r="H171" s="10"/>
      <c r="I171"/>
      <c r="J171"/>
      <c r="K171"/>
    </row>
    <row r="172" spans="1:11" ht="15">
      <c r="A172" s="17" t="s">
        <v>168</v>
      </c>
      <c r="B172" s="18">
        <f>VLOOKUP(Vlookup!$B137,'CDCM Volume Forecasts'!$A$27:$AG$123,B$137,FALSE)</f>
        <v>0</v>
      </c>
      <c r="C172" s="18">
        <f>VLOOKUP(Vlookup!$B137,'CDCM Volume Forecasts'!$A$27:$AG$123,C$137,FALSE)</f>
        <v>0</v>
      </c>
      <c r="D172" s="18">
        <f>VLOOKUP(Vlookup!$B137,'CDCM Volume Forecasts'!$A$27:$AG$123,D$137,FALSE)</f>
        <v>0</v>
      </c>
      <c r="E172" s="18">
        <f>VLOOKUP(Vlookup!$B137,'CDCM Volume Forecasts'!$A$27:$AG$123,E$137,FALSE)</f>
        <v>0</v>
      </c>
      <c r="F172" s="18">
        <f>VLOOKUP(Vlookup!$B137,'CDCM Volume Forecasts'!$A$27:$AG$123,F$137,FALSE)</f>
        <v>0</v>
      </c>
      <c r="G172" s="18">
        <f>VLOOKUP(Vlookup!$B137,'CDCM Volume Forecasts'!$A$27:$AG$123,G$137,FALSE)</f>
        <v>0</v>
      </c>
      <c r="H172" s="10"/>
      <c r="I172"/>
      <c r="J172"/>
      <c r="K172"/>
    </row>
    <row r="173" spans="1:11" ht="15">
      <c r="A173" s="11" t="s">
        <v>110</v>
      </c>
      <c r="B173" s="4">
        <f>VLOOKUP(Vlookup!$B138,'CDCM Volume Forecasts'!$A$27:$AG$123,B$137,FALSE)</f>
        <v>753.60754258070392</v>
      </c>
      <c r="C173" s="4">
        <f>VLOOKUP(Vlookup!$B138,'CDCM Volume Forecasts'!$A$27:$AG$123,C$137,FALSE)</f>
        <v>161.59553674706402</v>
      </c>
      <c r="D173" s="8">
        <f>VLOOKUP(Vlookup!$B138,'CDCM Volume Forecasts'!$A$27:$AG$123,D$137,FALSE)</f>
        <v>0</v>
      </c>
      <c r="E173" s="14">
        <f>VLOOKUP(Vlookup!$B138,'CDCM Volume Forecasts'!$A$27:$AG$123,E$137,FALSE)</f>
        <v>13</v>
      </c>
      <c r="F173" s="8">
        <f>VLOOKUP(Vlookup!$B138,'CDCM Volume Forecasts'!$A$27:$AG$123,F$137,FALSE)</f>
        <v>0</v>
      </c>
      <c r="G173" s="8">
        <f>VLOOKUP(Vlookup!$B138,'CDCM Volume Forecasts'!$A$27:$AG$123,G$137,FALSE)</f>
        <v>0</v>
      </c>
      <c r="H173" s="10"/>
      <c r="I173"/>
      <c r="J173"/>
      <c r="K173"/>
    </row>
    <row r="174" spans="1:11" ht="15">
      <c r="A174" s="17" t="s">
        <v>1650</v>
      </c>
      <c r="B174" s="18">
        <f>VLOOKUP(Vlookup!$B139,'CDCM Volume Forecasts'!$A$27:$AG$123,B$137,FALSE)</f>
        <v>0</v>
      </c>
      <c r="C174" s="18">
        <f>VLOOKUP(Vlookup!$B139,'CDCM Volume Forecasts'!$A$27:$AG$123,C$137,FALSE)</f>
        <v>0</v>
      </c>
      <c r="D174" s="18">
        <f>VLOOKUP(Vlookup!$B139,'CDCM Volume Forecasts'!$A$27:$AG$123,D$137,FALSE)</f>
        <v>0</v>
      </c>
      <c r="E174" s="18">
        <f>VLOOKUP(Vlookup!$B139,'CDCM Volume Forecasts'!$A$27:$AG$123,E$137,FALSE)</f>
        <v>0</v>
      </c>
      <c r="F174" s="18">
        <f>VLOOKUP(Vlookup!$B139,'CDCM Volume Forecasts'!$A$27:$AG$123,F$137,FALSE)</f>
        <v>0</v>
      </c>
      <c r="G174" s="18">
        <f>VLOOKUP(Vlookup!$B139,'CDCM Volume Forecasts'!$A$27:$AG$123,G$137,FALSE)</f>
        <v>0</v>
      </c>
      <c r="H174" s="10"/>
      <c r="I174"/>
      <c r="J174"/>
      <c r="K174"/>
    </row>
    <row r="175" spans="1:11" ht="15">
      <c r="A175" s="11" t="s">
        <v>1647</v>
      </c>
      <c r="B175" s="4">
        <f>VLOOKUP(Vlookup!$B140,'CDCM Volume Forecasts'!$A$27:$AG$123,B$137,FALSE)</f>
        <v>0</v>
      </c>
      <c r="C175" s="4">
        <f>VLOOKUP(Vlookup!$B140,'CDCM Volume Forecasts'!$A$27:$AG$123,C$137,FALSE)</f>
        <v>0</v>
      </c>
      <c r="D175" s="4">
        <f>VLOOKUP(Vlookup!$B140,'CDCM Volume Forecasts'!$A$27:$AG$123,D$137,FALSE)</f>
        <v>0</v>
      </c>
      <c r="E175" s="14">
        <f>VLOOKUP(Vlookup!$B140,'CDCM Volume Forecasts'!$A$27:$AG$123,E$137,FALSE)</f>
        <v>0</v>
      </c>
      <c r="F175" s="8">
        <f>VLOOKUP(Vlookup!$B140,'CDCM Volume Forecasts'!$A$27:$AG$123,F$137,FALSE)</f>
        <v>0</v>
      </c>
      <c r="G175" s="8">
        <f>VLOOKUP(Vlookup!$B140,'CDCM Volume Forecasts'!$A$27:$AG$123,G$137,FALSE)</f>
        <v>0</v>
      </c>
      <c r="H175" s="10"/>
      <c r="I175"/>
      <c r="J175"/>
      <c r="K175"/>
    </row>
    <row r="176" spans="1:11" ht="15">
      <c r="A176" s="11" t="s">
        <v>1644</v>
      </c>
      <c r="B176" s="4">
        <f>VLOOKUP(Vlookup!$B141,'CDCM Volume Forecasts'!$A$27:$AG$123,B$137,FALSE)</f>
        <v>0</v>
      </c>
      <c r="C176" s="4">
        <f>VLOOKUP(Vlookup!$B141,'CDCM Volume Forecasts'!$A$27:$AG$123,C$137,FALSE)</f>
        <v>0</v>
      </c>
      <c r="D176" s="4">
        <f>VLOOKUP(Vlookup!$B141,'CDCM Volume Forecasts'!$A$27:$AG$123,D$137,FALSE)</f>
        <v>0</v>
      </c>
      <c r="E176" s="14">
        <f>VLOOKUP(Vlookup!$B141,'CDCM Volume Forecasts'!$A$27:$AG$123,E$137,FALSE)</f>
        <v>0</v>
      </c>
      <c r="F176" s="8">
        <f>VLOOKUP(Vlookup!$B141,'CDCM Volume Forecasts'!$A$27:$AG$123,F$137,FALSE)</f>
        <v>0</v>
      </c>
      <c r="G176" s="8">
        <f>VLOOKUP(Vlookup!$B141,'CDCM Volume Forecasts'!$A$27:$AG$123,G$137,FALSE)</f>
        <v>0</v>
      </c>
      <c r="H176" s="10"/>
      <c r="I176"/>
      <c r="J176"/>
      <c r="K176"/>
    </row>
    <row r="177" spans="1:11" ht="15">
      <c r="A177" s="11" t="s">
        <v>1641</v>
      </c>
      <c r="B177" s="4">
        <f>VLOOKUP(Vlookup!$B142,'CDCM Volume Forecasts'!$A$27:$AG$123,B$137,FALSE)</f>
        <v>0</v>
      </c>
      <c r="C177" s="4">
        <f>VLOOKUP(Vlookup!$B142,'CDCM Volume Forecasts'!$A$27:$AG$123,C$137,FALSE)</f>
        <v>0</v>
      </c>
      <c r="D177" s="4">
        <f>VLOOKUP(Vlookup!$B142,'CDCM Volume Forecasts'!$A$27:$AG$123,D$137,FALSE)</f>
        <v>0</v>
      </c>
      <c r="E177" s="14">
        <f>VLOOKUP(Vlookup!$B142,'CDCM Volume Forecasts'!$A$27:$AG$123,E$137,FALSE)</f>
        <v>0</v>
      </c>
      <c r="F177" s="8">
        <f>VLOOKUP(Vlookup!$B142,'CDCM Volume Forecasts'!$A$27:$AG$123,F$137,FALSE)</f>
        <v>0</v>
      </c>
      <c r="G177" s="8">
        <f>VLOOKUP(Vlookup!$B142,'CDCM Volume Forecasts'!$A$27:$AG$123,G$137,FALSE)</f>
        <v>0</v>
      </c>
      <c r="H177" s="10"/>
      <c r="I177"/>
      <c r="J177"/>
      <c r="K177"/>
    </row>
    <row r="178" spans="1:11" ht="15">
      <c r="A178" s="17" t="s">
        <v>1649</v>
      </c>
      <c r="B178" s="18">
        <f>VLOOKUP(Vlookup!$B143,'CDCM Volume Forecasts'!$A$27:$AG$123,B$137,FALSE)</f>
        <v>0</v>
      </c>
      <c r="C178" s="18">
        <f>VLOOKUP(Vlookup!$B143,'CDCM Volume Forecasts'!$A$27:$AG$123,C$137,FALSE)</f>
        <v>0</v>
      </c>
      <c r="D178" s="18">
        <f>VLOOKUP(Vlookup!$B143,'CDCM Volume Forecasts'!$A$27:$AG$123,D$137,FALSE)</f>
        <v>0</v>
      </c>
      <c r="E178" s="18">
        <f>VLOOKUP(Vlookup!$B143,'CDCM Volume Forecasts'!$A$27:$AG$123,E$137,FALSE)</f>
        <v>0</v>
      </c>
      <c r="F178" s="18">
        <f>VLOOKUP(Vlookup!$B143,'CDCM Volume Forecasts'!$A$27:$AG$123,F$137,FALSE)</f>
        <v>0</v>
      </c>
      <c r="G178" s="18">
        <f>VLOOKUP(Vlookup!$B143,'CDCM Volume Forecasts'!$A$27:$AG$123,G$137,FALSE)</f>
        <v>0</v>
      </c>
      <c r="H178" s="10"/>
      <c r="I178"/>
      <c r="J178"/>
      <c r="K178"/>
    </row>
    <row r="179" spans="1:11" ht="15">
      <c r="A179" s="11" t="s">
        <v>1646</v>
      </c>
      <c r="B179" s="4">
        <f>VLOOKUP(Vlookup!$B144,'CDCM Volume Forecasts'!$A$27:$AG$123,B$137,FALSE)</f>
        <v>0</v>
      </c>
      <c r="C179" s="4">
        <f>VLOOKUP(Vlookup!$B144,'CDCM Volume Forecasts'!$A$27:$AG$123,C$137,FALSE)</f>
        <v>0</v>
      </c>
      <c r="D179" s="4">
        <f>VLOOKUP(Vlookup!$B144,'CDCM Volume Forecasts'!$A$27:$AG$123,D$137,FALSE)</f>
        <v>0</v>
      </c>
      <c r="E179" s="14">
        <f>VLOOKUP(Vlookup!$B144,'CDCM Volume Forecasts'!$A$27:$AG$123,E$137,FALSE)</f>
        <v>0</v>
      </c>
      <c r="F179" s="8">
        <f>VLOOKUP(Vlookup!$B144,'CDCM Volume Forecasts'!$A$27:$AG$123,F$137,FALSE)</f>
        <v>0</v>
      </c>
      <c r="G179" s="8">
        <f>VLOOKUP(Vlookup!$B144,'CDCM Volume Forecasts'!$A$27:$AG$123,G$137,FALSE)</f>
        <v>0</v>
      </c>
      <c r="H179" s="10"/>
      <c r="I179"/>
      <c r="J179"/>
      <c r="K179"/>
    </row>
    <row r="180" spans="1:11" ht="15">
      <c r="A180" s="11" t="s">
        <v>1643</v>
      </c>
      <c r="B180" s="4">
        <f>VLOOKUP(Vlookup!$B145,'CDCM Volume Forecasts'!$A$27:$AG$123,B$137,FALSE)</f>
        <v>0</v>
      </c>
      <c r="C180" s="4">
        <f>VLOOKUP(Vlookup!$B145,'CDCM Volume Forecasts'!$A$27:$AG$123,C$137,FALSE)</f>
        <v>0</v>
      </c>
      <c r="D180" s="4">
        <f>VLOOKUP(Vlookup!$B145,'CDCM Volume Forecasts'!$A$27:$AG$123,D$137,FALSE)</f>
        <v>0</v>
      </c>
      <c r="E180" s="14">
        <f>VLOOKUP(Vlookup!$B145,'CDCM Volume Forecasts'!$A$27:$AG$123,E$137,FALSE)</f>
        <v>0</v>
      </c>
      <c r="F180" s="8">
        <f>VLOOKUP(Vlookup!$B145,'CDCM Volume Forecasts'!$A$27:$AG$123,F$137,FALSE)</f>
        <v>0</v>
      </c>
      <c r="G180" s="8">
        <f>VLOOKUP(Vlookup!$B145,'CDCM Volume Forecasts'!$A$27:$AG$123,G$137,FALSE)</f>
        <v>0</v>
      </c>
      <c r="H180" s="10"/>
      <c r="I180"/>
      <c r="J180"/>
      <c r="K180"/>
    </row>
    <row r="181" spans="1:11" ht="15">
      <c r="A181" s="11" t="s">
        <v>1640</v>
      </c>
      <c r="B181" s="4">
        <f>VLOOKUP(Vlookup!$B146,'CDCM Volume Forecasts'!$A$27:$AG$123,B$137,FALSE)</f>
        <v>0</v>
      </c>
      <c r="C181" s="4">
        <f>VLOOKUP(Vlookup!$B146,'CDCM Volume Forecasts'!$A$27:$AG$123,C$137,FALSE)</f>
        <v>0</v>
      </c>
      <c r="D181" s="4">
        <f>VLOOKUP(Vlookup!$B146,'CDCM Volume Forecasts'!$A$27:$AG$123,D$137,FALSE)</f>
        <v>0</v>
      </c>
      <c r="E181" s="14">
        <f>VLOOKUP(Vlookup!$B146,'CDCM Volume Forecasts'!$A$27:$AG$123,E$137,FALSE)</f>
        <v>0</v>
      </c>
      <c r="F181" s="8">
        <f>VLOOKUP(Vlookup!$B146,'CDCM Volume Forecasts'!$A$27:$AG$123,F$137,FALSE)</f>
        <v>0</v>
      </c>
      <c r="G181" s="8">
        <f>VLOOKUP(Vlookup!$B146,'CDCM Volume Forecasts'!$A$27:$AG$123,G$137,FALSE)</f>
        <v>0</v>
      </c>
      <c r="H181" s="10"/>
      <c r="I181"/>
      <c r="J181"/>
      <c r="K181"/>
    </row>
    <row r="182" spans="1:11" ht="15">
      <c r="A182" s="17" t="s">
        <v>169</v>
      </c>
      <c r="B182" s="18">
        <f>VLOOKUP(Vlookup!$B147,'CDCM Volume Forecasts'!$A$27:$AG$123,B$137,FALSE)</f>
        <v>0</v>
      </c>
      <c r="C182" s="18">
        <f>VLOOKUP(Vlookup!$B147,'CDCM Volume Forecasts'!$A$27:$AG$123,C$137,FALSE)</f>
        <v>0</v>
      </c>
      <c r="D182" s="18">
        <f>VLOOKUP(Vlookup!$B147,'CDCM Volume Forecasts'!$A$27:$AG$123,D$137,FALSE)</f>
        <v>0</v>
      </c>
      <c r="E182" s="18">
        <f>VLOOKUP(Vlookup!$B147,'CDCM Volume Forecasts'!$A$27:$AG$123,E$137,FALSE)</f>
        <v>0</v>
      </c>
      <c r="F182" s="18">
        <f>VLOOKUP(Vlookup!$B147,'CDCM Volume Forecasts'!$A$27:$AG$123,F$137,FALSE)</f>
        <v>0</v>
      </c>
      <c r="G182" s="18">
        <f>VLOOKUP(Vlookup!$B147,'CDCM Volume Forecasts'!$A$27:$AG$123,G$137,FALSE)</f>
        <v>0</v>
      </c>
      <c r="H182" s="10"/>
      <c r="I182"/>
      <c r="J182"/>
      <c r="K182"/>
    </row>
    <row r="183" spans="1:11" ht="15">
      <c r="A183" s="11" t="s">
        <v>98</v>
      </c>
      <c r="B183" s="4">
        <f>VLOOKUP(Vlookup!$B148,'CDCM Volume Forecasts'!$A$27:$AG$123,B$137,FALSE)</f>
        <v>105280.60773635872</v>
      </c>
      <c r="C183" s="4">
        <f>VLOOKUP(Vlookup!$B148,'CDCM Volume Forecasts'!$A$27:$AG$123,C$137,FALSE)</f>
        <v>666906.91242974426</v>
      </c>
      <c r="D183" s="4">
        <f>VLOOKUP(Vlookup!$B148,'CDCM Volume Forecasts'!$A$27:$AG$123,D$137,FALSE)</f>
        <v>493272.90471028525</v>
      </c>
      <c r="E183" s="14">
        <f>VLOOKUP(Vlookup!$B148,'CDCM Volume Forecasts'!$A$27:$AG$123,E$137,FALSE)</f>
        <v>3111</v>
      </c>
      <c r="F183" s="14">
        <f>VLOOKUP(Vlookup!$B148,'CDCM Volume Forecasts'!$A$27:$AG$123,F$137,FALSE)</f>
        <v>578357</v>
      </c>
      <c r="G183" s="4">
        <f>VLOOKUP(Vlookup!$B148,'CDCM Volume Forecasts'!$A$27:$AG$123,G$137,FALSE)</f>
        <v>121162</v>
      </c>
      <c r="H183" s="10"/>
      <c r="I183"/>
      <c r="J183"/>
      <c r="K183"/>
    </row>
    <row r="184" spans="1:11" ht="15">
      <c r="A184" s="11" t="s">
        <v>170</v>
      </c>
      <c r="B184" s="4">
        <f>VLOOKUP(Vlookup!$B149,'CDCM Volume Forecasts'!$A$27:$AG$123,B$137,FALSE)</f>
        <v>0</v>
      </c>
      <c r="C184" s="4">
        <f>VLOOKUP(Vlookup!$B149,'CDCM Volume Forecasts'!$A$27:$AG$123,C$137,FALSE)</f>
        <v>0</v>
      </c>
      <c r="D184" s="4">
        <f>VLOOKUP(Vlookup!$B149,'CDCM Volume Forecasts'!$A$27:$AG$123,D$137,FALSE)</f>
        <v>0</v>
      </c>
      <c r="E184" s="14">
        <f>VLOOKUP(Vlookup!$B149,'CDCM Volume Forecasts'!$A$27:$AG$123,E$137,FALSE)</f>
        <v>0</v>
      </c>
      <c r="F184" s="14">
        <f>VLOOKUP(Vlookup!$B149,'CDCM Volume Forecasts'!$A$27:$AG$123,F$137,FALSE)</f>
        <v>0</v>
      </c>
      <c r="G184" s="4">
        <f>VLOOKUP(Vlookup!$B149,'CDCM Volume Forecasts'!$A$27:$AG$123,G$137,FALSE)</f>
        <v>0</v>
      </c>
      <c r="H184" s="10"/>
      <c r="I184"/>
      <c r="J184"/>
      <c r="K184"/>
    </row>
    <row r="185" spans="1:11" ht="15">
      <c r="A185" s="11" t="s">
        <v>171</v>
      </c>
      <c r="B185" s="4">
        <f>VLOOKUP(Vlookup!$B150,'CDCM Volume Forecasts'!$A$27:$AG$123,B$137,FALSE)</f>
        <v>1624.4972466770896</v>
      </c>
      <c r="C185" s="4">
        <f>VLOOKUP(Vlookup!$B150,'CDCM Volume Forecasts'!$A$27:$AG$123,C$137,FALSE)</f>
        <v>8871.8152011074108</v>
      </c>
      <c r="D185" s="4">
        <f>VLOOKUP(Vlookup!$B150,'CDCM Volume Forecasts'!$A$27:$AG$123,D$137,FALSE)</f>
        <v>6399.4295359516582</v>
      </c>
      <c r="E185" s="14">
        <f>VLOOKUP(Vlookup!$B150,'CDCM Volume Forecasts'!$A$27:$AG$123,E$137,FALSE)</f>
        <v>20</v>
      </c>
      <c r="F185" s="14">
        <f>VLOOKUP(Vlookup!$B150,'CDCM Volume Forecasts'!$A$27:$AG$123,F$137,FALSE)</f>
        <v>6985</v>
      </c>
      <c r="G185" s="4">
        <f>VLOOKUP(Vlookup!$B150,'CDCM Volume Forecasts'!$A$27:$AG$123,G$137,FALSE)</f>
        <v>558</v>
      </c>
      <c r="H185" s="10"/>
      <c r="I185"/>
      <c r="J185"/>
      <c r="K185"/>
    </row>
    <row r="186" spans="1:11" ht="15">
      <c r="A186" s="17" t="s">
        <v>172</v>
      </c>
      <c r="B186" s="18">
        <f>VLOOKUP(Vlookup!$B151,'CDCM Volume Forecasts'!$A$27:$AG$123,B$137,FALSE)</f>
        <v>0</v>
      </c>
      <c r="C186" s="18">
        <f>VLOOKUP(Vlookup!$B151,'CDCM Volume Forecasts'!$A$27:$AG$123,C$137,FALSE)</f>
        <v>0</v>
      </c>
      <c r="D186" s="18">
        <f>VLOOKUP(Vlookup!$B151,'CDCM Volume Forecasts'!$A$27:$AG$123,D$137,FALSE)</f>
        <v>0</v>
      </c>
      <c r="E186" s="18">
        <f>VLOOKUP(Vlookup!$B151,'CDCM Volume Forecasts'!$A$27:$AG$123,E$137,FALSE)</f>
        <v>0</v>
      </c>
      <c r="F186" s="18">
        <f>VLOOKUP(Vlookup!$B151,'CDCM Volume Forecasts'!$A$27:$AG$123,F$137,FALSE)</f>
        <v>0</v>
      </c>
      <c r="G186" s="18">
        <f>VLOOKUP(Vlookup!$B151,'CDCM Volume Forecasts'!$A$27:$AG$123,G$137,FALSE)</f>
        <v>0</v>
      </c>
      <c r="H186" s="10"/>
      <c r="I186"/>
      <c r="J186"/>
      <c r="K186"/>
    </row>
    <row r="187" spans="1:11" ht="15">
      <c r="A187" s="11" t="s">
        <v>99</v>
      </c>
      <c r="B187" s="4">
        <f>VLOOKUP(Vlookup!$B152,'CDCM Volume Forecasts'!$A$27:$AG$123,B$137,FALSE)</f>
        <v>1334.7866543787895</v>
      </c>
      <c r="C187" s="4">
        <f>VLOOKUP(Vlookup!$B152,'CDCM Volume Forecasts'!$A$27:$AG$123,C$137,FALSE)</f>
        <v>7582.7475303968895</v>
      </c>
      <c r="D187" s="4">
        <f>VLOOKUP(Vlookup!$B152,'CDCM Volume Forecasts'!$A$27:$AG$123,D$137,FALSE)</f>
        <v>5677.7124349562873</v>
      </c>
      <c r="E187" s="14">
        <f>VLOOKUP(Vlookup!$B152,'CDCM Volume Forecasts'!$A$27:$AG$123,E$137,FALSE)</f>
        <v>18</v>
      </c>
      <c r="F187" s="14">
        <f>VLOOKUP(Vlookup!$B152,'CDCM Volume Forecasts'!$A$27:$AG$123,F$137,FALSE)</f>
        <v>6238</v>
      </c>
      <c r="G187" s="4">
        <f>VLOOKUP(Vlookup!$B152,'CDCM Volume Forecasts'!$A$27:$AG$123,G$137,FALSE)</f>
        <v>1758</v>
      </c>
      <c r="H187" s="10"/>
      <c r="I187"/>
      <c r="J187"/>
      <c r="K187"/>
    </row>
    <row r="188" spans="1:11" ht="15">
      <c r="A188" s="11" t="s">
        <v>173</v>
      </c>
      <c r="B188" s="4">
        <f>VLOOKUP(Vlookup!$B153,'CDCM Volume Forecasts'!$A$27:$AG$123,B$137,FALSE)</f>
        <v>439.053309912727</v>
      </c>
      <c r="C188" s="4">
        <f>VLOOKUP(Vlookup!$B153,'CDCM Volume Forecasts'!$A$27:$AG$123,C$137,FALSE)</f>
        <v>2397.787892191192</v>
      </c>
      <c r="D188" s="4">
        <f>VLOOKUP(Vlookup!$B153,'CDCM Volume Forecasts'!$A$27:$AG$123,D$137,FALSE)</f>
        <v>1729.5755502572049</v>
      </c>
      <c r="E188" s="14">
        <f>VLOOKUP(Vlookup!$B153,'CDCM Volume Forecasts'!$A$27:$AG$123,E$137,FALSE)</f>
        <v>5</v>
      </c>
      <c r="F188" s="14">
        <f>VLOOKUP(Vlookup!$B153,'CDCM Volume Forecasts'!$A$27:$AG$123,F$137,FALSE)</f>
        <v>1067</v>
      </c>
      <c r="G188" s="4">
        <f>VLOOKUP(Vlookup!$B153,'CDCM Volume Forecasts'!$A$27:$AG$123,G$137,FALSE)</f>
        <v>113</v>
      </c>
      <c r="H188" s="10"/>
      <c r="I188"/>
      <c r="J188"/>
      <c r="K188"/>
    </row>
    <row r="189" spans="1:11" ht="15">
      <c r="A189" s="17" t="s">
        <v>174</v>
      </c>
      <c r="B189" s="18">
        <f>VLOOKUP(Vlookup!$B154,'CDCM Volume Forecasts'!$A$27:$AG$123,B$137,FALSE)</f>
        <v>0</v>
      </c>
      <c r="C189" s="18">
        <f>VLOOKUP(Vlookup!$B154,'CDCM Volume Forecasts'!$A$27:$AG$123,C$137,FALSE)</f>
        <v>0</v>
      </c>
      <c r="D189" s="18">
        <f>VLOOKUP(Vlookup!$B154,'CDCM Volume Forecasts'!$A$27:$AG$123,D$137,FALSE)</f>
        <v>0</v>
      </c>
      <c r="E189" s="18">
        <f>VLOOKUP(Vlookup!$B154,'CDCM Volume Forecasts'!$A$27:$AG$123,E$137,FALSE)</f>
        <v>0</v>
      </c>
      <c r="F189" s="18">
        <f>VLOOKUP(Vlookup!$B154,'CDCM Volume Forecasts'!$A$27:$AG$123,F$137,FALSE)</f>
        <v>0</v>
      </c>
      <c r="G189" s="18">
        <f>VLOOKUP(Vlookup!$B154,'CDCM Volume Forecasts'!$A$27:$AG$123,G$137,FALSE)</f>
        <v>0</v>
      </c>
      <c r="H189" s="10"/>
      <c r="I189"/>
      <c r="J189"/>
      <c r="K189"/>
    </row>
    <row r="190" spans="1:11" ht="15">
      <c r="A190" s="11" t="s">
        <v>111</v>
      </c>
      <c r="B190" s="4">
        <f>VLOOKUP(Vlookup!$B155,'CDCM Volume Forecasts'!$A$27:$AG$123,B$137,FALSE)</f>
        <v>168212.60808699948</v>
      </c>
      <c r="C190" s="4">
        <f>VLOOKUP(Vlookup!$B155,'CDCM Volume Forecasts'!$A$27:$AG$123,C$137,FALSE)</f>
        <v>1015521.4628002136</v>
      </c>
      <c r="D190" s="4">
        <f>VLOOKUP(Vlookup!$B155,'CDCM Volume Forecasts'!$A$27:$AG$123,D$137,FALSE)</f>
        <v>952719.56575802783</v>
      </c>
      <c r="E190" s="14">
        <f>VLOOKUP(Vlookup!$B155,'CDCM Volume Forecasts'!$A$27:$AG$123,E$137,FALSE)</f>
        <v>595</v>
      </c>
      <c r="F190" s="14">
        <f>VLOOKUP(Vlookup!$B155,'CDCM Volume Forecasts'!$A$27:$AG$123,F$137,FALSE)</f>
        <v>696791</v>
      </c>
      <c r="G190" s="4">
        <f>VLOOKUP(Vlookup!$B155,'CDCM Volume Forecasts'!$A$27:$AG$123,G$137,FALSE)</f>
        <v>160841</v>
      </c>
      <c r="H190" s="10"/>
      <c r="I190"/>
      <c r="J190"/>
      <c r="K190"/>
    </row>
    <row r="191" spans="1:11" ht="15">
      <c r="A191" s="11" t="s">
        <v>175</v>
      </c>
      <c r="B191" s="4">
        <f>VLOOKUP(Vlookup!$B156,'CDCM Volume Forecasts'!$A$27:$AG$123,B$137,FALSE)</f>
        <v>687.38919403029763</v>
      </c>
      <c r="C191" s="4">
        <f>VLOOKUP(Vlookup!$B156,'CDCM Volume Forecasts'!$A$27:$AG$123,C$137,FALSE)</f>
        <v>3897.128225748751</v>
      </c>
      <c r="D191" s="4">
        <f>VLOOKUP(Vlookup!$B156,'CDCM Volume Forecasts'!$A$27:$AG$123,D$137,FALSE)</f>
        <v>3071.0997928152483</v>
      </c>
      <c r="E191" s="14">
        <f>VLOOKUP(Vlookup!$B156,'CDCM Volume Forecasts'!$A$27:$AG$123,E$137,FALSE)</f>
        <v>5</v>
      </c>
      <c r="F191" s="14">
        <f>VLOOKUP(Vlookup!$B156,'CDCM Volume Forecasts'!$A$27:$AG$123,F$137,FALSE)</f>
        <v>4903</v>
      </c>
      <c r="G191" s="4">
        <f>VLOOKUP(Vlookup!$B156,'CDCM Volume Forecasts'!$A$27:$AG$123,G$137,FALSE)</f>
        <v>358</v>
      </c>
      <c r="H191" s="10"/>
      <c r="I191"/>
      <c r="J191"/>
      <c r="K191"/>
    </row>
    <row r="192" spans="1:11" ht="15">
      <c r="A192" s="17" t="s">
        <v>176</v>
      </c>
      <c r="B192" s="18">
        <f>VLOOKUP(Vlookup!$B157,'CDCM Volume Forecasts'!$A$27:$AG$123,B$137,FALSE)</f>
        <v>0</v>
      </c>
      <c r="C192" s="18">
        <f>VLOOKUP(Vlookup!$B157,'CDCM Volume Forecasts'!$A$27:$AG$123,C$137,FALSE)</f>
        <v>0</v>
      </c>
      <c r="D192" s="18">
        <f>VLOOKUP(Vlookup!$B157,'CDCM Volume Forecasts'!$A$27:$AG$123,D$137,FALSE)</f>
        <v>0</v>
      </c>
      <c r="E192" s="18">
        <f>VLOOKUP(Vlookup!$B157,'CDCM Volume Forecasts'!$A$27:$AG$123,E$137,FALSE)</f>
        <v>0</v>
      </c>
      <c r="F192" s="18">
        <f>VLOOKUP(Vlookup!$B157,'CDCM Volume Forecasts'!$A$27:$AG$123,F$137,FALSE)</f>
        <v>0</v>
      </c>
      <c r="G192" s="18">
        <f>VLOOKUP(Vlookup!$B157,'CDCM Volume Forecasts'!$A$27:$AG$123,G$137,FALSE)</f>
        <v>0</v>
      </c>
      <c r="H192" s="10"/>
      <c r="I192"/>
      <c r="J192"/>
      <c r="K192"/>
    </row>
    <row r="193" spans="1:11" ht="15">
      <c r="A193" s="11" t="s">
        <v>131</v>
      </c>
      <c r="B193" s="4">
        <f>VLOOKUP(Vlookup!$B158,'CDCM Volume Forecasts'!$A$27:$AG$123,B$137,FALSE)</f>
        <v>7597.2957335261272</v>
      </c>
      <c r="C193" s="8">
        <f>VLOOKUP(Vlookup!$B158,'CDCM Volume Forecasts'!$A$27:$AG$123,C$137,FALSE)</f>
        <v>0</v>
      </c>
      <c r="D193" s="8">
        <f>VLOOKUP(Vlookup!$B158,'CDCM Volume Forecasts'!$A$27:$AG$123,D$137,FALSE)</f>
        <v>0</v>
      </c>
      <c r="E193" s="14">
        <f>VLOOKUP(Vlookup!$B158,'CDCM Volume Forecasts'!$A$27:$AG$123,E$137,FALSE)</f>
        <v>514</v>
      </c>
      <c r="F193" s="8">
        <f>VLOOKUP(Vlookup!$B158,'CDCM Volume Forecasts'!$A$27:$AG$123,F$137,FALSE)</f>
        <v>0</v>
      </c>
      <c r="G193" s="8">
        <f>VLOOKUP(Vlookup!$B158,'CDCM Volume Forecasts'!$A$27:$AG$123,G$137,FALSE)</f>
        <v>0</v>
      </c>
      <c r="H193" s="10"/>
      <c r="I193"/>
      <c r="J193"/>
      <c r="K193"/>
    </row>
    <row r="194" spans="1:11" ht="15">
      <c r="A194" s="11" t="s">
        <v>177</v>
      </c>
      <c r="B194" s="4">
        <f>VLOOKUP(Vlookup!$B159,'CDCM Volume Forecasts'!$A$27:$AG$123,B$137,FALSE)</f>
        <v>38.57379559770618</v>
      </c>
      <c r="C194" s="8">
        <f>VLOOKUP(Vlookup!$B159,'CDCM Volume Forecasts'!$A$27:$AG$123,C$137,FALSE)</f>
        <v>0</v>
      </c>
      <c r="D194" s="8">
        <f>VLOOKUP(Vlookup!$B159,'CDCM Volume Forecasts'!$A$27:$AG$123,D$137,FALSE)</f>
        <v>0</v>
      </c>
      <c r="E194" s="14">
        <f>VLOOKUP(Vlookup!$B159,'CDCM Volume Forecasts'!$A$27:$AG$123,E$137,FALSE)</f>
        <v>0</v>
      </c>
      <c r="F194" s="8">
        <f>VLOOKUP(Vlookup!$B159,'CDCM Volume Forecasts'!$A$27:$AG$123,F$137,FALSE)</f>
        <v>0</v>
      </c>
      <c r="G194" s="8">
        <f>VLOOKUP(Vlookup!$B159,'CDCM Volume Forecasts'!$A$27:$AG$123,G$137,FALSE)</f>
        <v>0</v>
      </c>
      <c r="H194" s="10"/>
      <c r="I194"/>
      <c r="J194"/>
      <c r="K194"/>
    </row>
    <row r="195" spans="1:11" ht="15">
      <c r="A195" s="11" t="s">
        <v>178</v>
      </c>
      <c r="B195" s="4">
        <f>VLOOKUP(Vlookup!$B160,'CDCM Volume Forecasts'!$A$27:$AG$123,B$137,FALSE)</f>
        <v>180.42533538088671</v>
      </c>
      <c r="C195" s="8">
        <f>VLOOKUP(Vlookup!$B160,'CDCM Volume Forecasts'!$A$27:$AG$123,C$137,FALSE)</f>
        <v>0</v>
      </c>
      <c r="D195" s="8">
        <f>VLOOKUP(Vlookup!$B160,'CDCM Volume Forecasts'!$A$27:$AG$123,D$137,FALSE)</f>
        <v>0</v>
      </c>
      <c r="E195" s="14">
        <f>VLOOKUP(Vlookup!$B160,'CDCM Volume Forecasts'!$A$27:$AG$123,E$137,FALSE)</f>
        <v>0</v>
      </c>
      <c r="F195" s="8">
        <f>VLOOKUP(Vlookup!$B160,'CDCM Volume Forecasts'!$A$27:$AG$123,F$137,FALSE)</f>
        <v>0</v>
      </c>
      <c r="G195" s="8">
        <f>VLOOKUP(Vlookup!$B160,'CDCM Volume Forecasts'!$A$27:$AG$123,G$137,FALSE)</f>
        <v>0</v>
      </c>
      <c r="H195" s="10"/>
      <c r="I195"/>
      <c r="J195"/>
      <c r="K195"/>
    </row>
    <row r="196" spans="1:11" ht="15">
      <c r="A196" s="17" t="s">
        <v>179</v>
      </c>
      <c r="B196" s="18">
        <f>VLOOKUP(Vlookup!$B161,'CDCM Volume Forecasts'!$A$27:$AG$123,B$137,FALSE)</f>
        <v>0</v>
      </c>
      <c r="C196" s="18">
        <f>VLOOKUP(Vlookup!$B161,'CDCM Volume Forecasts'!$A$27:$AG$123,C$137,FALSE)</f>
        <v>0</v>
      </c>
      <c r="D196" s="18">
        <f>VLOOKUP(Vlookup!$B161,'CDCM Volume Forecasts'!$A$27:$AG$123,D$137,FALSE)</f>
        <v>0</v>
      </c>
      <c r="E196" s="18">
        <f>VLOOKUP(Vlookup!$B161,'CDCM Volume Forecasts'!$A$27:$AG$123,E$137,FALSE)</f>
        <v>0</v>
      </c>
      <c r="F196" s="18">
        <f>VLOOKUP(Vlookup!$B161,'CDCM Volume Forecasts'!$A$27:$AG$123,F$137,FALSE)</f>
        <v>0</v>
      </c>
      <c r="G196" s="18">
        <f>VLOOKUP(Vlookup!$B161,'CDCM Volume Forecasts'!$A$27:$AG$123,G$137,FALSE)</f>
        <v>0</v>
      </c>
      <c r="H196" s="10"/>
      <c r="I196"/>
      <c r="J196"/>
      <c r="K196"/>
    </row>
    <row r="197" spans="1:11" ht="15">
      <c r="A197" s="11" t="s">
        <v>132</v>
      </c>
      <c r="B197" s="4">
        <f>VLOOKUP(Vlookup!$B162,'CDCM Volume Forecasts'!$A$27:$AG$123,B$137,FALSE)</f>
        <v>5952.5744876907111</v>
      </c>
      <c r="C197" s="8">
        <f>VLOOKUP(Vlookup!$B162,'CDCM Volume Forecasts'!$A$27:$AG$123,C$137,FALSE)</f>
        <v>0</v>
      </c>
      <c r="D197" s="8">
        <f>VLOOKUP(Vlookup!$B162,'CDCM Volume Forecasts'!$A$27:$AG$123,D$137,FALSE)</f>
        <v>0</v>
      </c>
      <c r="E197" s="14">
        <f>VLOOKUP(Vlookup!$B162,'CDCM Volume Forecasts'!$A$27:$AG$123,E$137,FALSE)</f>
        <v>749</v>
      </c>
      <c r="F197" s="8">
        <f>VLOOKUP(Vlookup!$B162,'CDCM Volume Forecasts'!$A$27:$AG$123,F$137,FALSE)</f>
        <v>0</v>
      </c>
      <c r="G197" s="8">
        <f>VLOOKUP(Vlookup!$B162,'CDCM Volume Forecasts'!$A$27:$AG$123,G$137,FALSE)</f>
        <v>0</v>
      </c>
      <c r="H197" s="10"/>
      <c r="I197"/>
      <c r="J197"/>
      <c r="K197"/>
    </row>
    <row r="198" spans="1:11" ht="15">
      <c r="A198" s="11" t="s">
        <v>180</v>
      </c>
      <c r="B198" s="4">
        <f>VLOOKUP(Vlookup!$B163,'CDCM Volume Forecasts'!$A$27:$AG$123,B$137,FALSE)</f>
        <v>5.4179338644077735</v>
      </c>
      <c r="C198" s="8">
        <f>VLOOKUP(Vlookup!$B163,'CDCM Volume Forecasts'!$A$27:$AG$123,C$137,FALSE)</f>
        <v>0</v>
      </c>
      <c r="D198" s="8">
        <f>VLOOKUP(Vlookup!$B163,'CDCM Volume Forecasts'!$A$27:$AG$123,D$137,FALSE)</f>
        <v>0</v>
      </c>
      <c r="E198" s="14">
        <f>VLOOKUP(Vlookup!$B163,'CDCM Volume Forecasts'!$A$27:$AG$123,E$137,FALSE)</f>
        <v>0</v>
      </c>
      <c r="F198" s="8">
        <f>VLOOKUP(Vlookup!$B163,'CDCM Volume Forecasts'!$A$27:$AG$123,F$137,FALSE)</f>
        <v>0</v>
      </c>
      <c r="G198" s="8">
        <f>VLOOKUP(Vlookup!$B163,'CDCM Volume Forecasts'!$A$27:$AG$123,G$137,FALSE)</f>
        <v>0</v>
      </c>
      <c r="H198" s="10"/>
      <c r="I198"/>
      <c r="J198"/>
      <c r="K198"/>
    </row>
    <row r="199" spans="1:11" ht="15">
      <c r="A199" s="11" t="s">
        <v>181</v>
      </c>
      <c r="B199" s="4">
        <f>VLOOKUP(Vlookup!$B164,'CDCM Volume Forecasts'!$A$27:$AG$123,B$137,FALSE)</f>
        <v>258.82704553611961</v>
      </c>
      <c r="C199" s="8">
        <f>VLOOKUP(Vlookup!$B164,'CDCM Volume Forecasts'!$A$27:$AG$123,C$137,FALSE)</f>
        <v>0</v>
      </c>
      <c r="D199" s="8">
        <f>VLOOKUP(Vlookup!$B164,'CDCM Volume Forecasts'!$A$27:$AG$123,D$137,FALSE)</f>
        <v>0</v>
      </c>
      <c r="E199" s="14">
        <f>VLOOKUP(Vlookup!$B164,'CDCM Volume Forecasts'!$A$27:$AG$123,E$137,FALSE)</f>
        <v>0</v>
      </c>
      <c r="F199" s="8">
        <f>VLOOKUP(Vlookup!$B164,'CDCM Volume Forecasts'!$A$27:$AG$123,F$137,FALSE)</f>
        <v>0</v>
      </c>
      <c r="G199" s="8">
        <f>VLOOKUP(Vlookup!$B164,'CDCM Volume Forecasts'!$A$27:$AG$123,G$137,FALSE)</f>
        <v>0</v>
      </c>
      <c r="H199" s="10"/>
      <c r="I199"/>
      <c r="J199"/>
      <c r="K199"/>
    </row>
    <row r="200" spans="1:11" ht="15">
      <c r="A200" s="17" t="s">
        <v>182</v>
      </c>
      <c r="B200" s="18">
        <f>VLOOKUP(Vlookup!$B165,'CDCM Volume Forecasts'!$A$27:$AG$123,B$137,FALSE)</f>
        <v>0</v>
      </c>
      <c r="C200" s="18">
        <f>VLOOKUP(Vlookup!$B165,'CDCM Volume Forecasts'!$A$27:$AG$123,C$137,FALSE)</f>
        <v>0</v>
      </c>
      <c r="D200" s="18">
        <f>VLOOKUP(Vlookup!$B165,'CDCM Volume Forecasts'!$A$27:$AG$123,D$137,FALSE)</f>
        <v>0</v>
      </c>
      <c r="E200" s="18">
        <f>VLOOKUP(Vlookup!$B165,'CDCM Volume Forecasts'!$A$27:$AG$123,E$137,FALSE)</f>
        <v>0</v>
      </c>
      <c r="F200" s="18">
        <f>VLOOKUP(Vlookup!$B165,'CDCM Volume Forecasts'!$A$27:$AG$123,F$137,FALSE)</f>
        <v>0</v>
      </c>
      <c r="G200" s="18">
        <f>VLOOKUP(Vlookup!$B165,'CDCM Volume Forecasts'!$A$27:$AG$123,G$137,FALSE)</f>
        <v>0</v>
      </c>
      <c r="H200" s="10"/>
      <c r="I200"/>
      <c r="J200"/>
      <c r="K200"/>
    </row>
    <row r="201" spans="1:11" ht="15">
      <c r="A201" s="11" t="s">
        <v>133</v>
      </c>
      <c r="B201" s="4">
        <f>VLOOKUP(Vlookup!$B166,'CDCM Volume Forecasts'!$A$27:$AG$123,B$137,FALSE)</f>
        <v>378.27038018128798</v>
      </c>
      <c r="C201" s="8">
        <f>VLOOKUP(Vlookup!$B166,'CDCM Volume Forecasts'!$A$27:$AG$123,C$137,FALSE)</f>
        <v>0</v>
      </c>
      <c r="D201" s="8">
        <f>VLOOKUP(Vlookup!$B166,'CDCM Volume Forecasts'!$A$27:$AG$123,D$137,FALSE)</f>
        <v>0</v>
      </c>
      <c r="E201" s="14">
        <f>VLOOKUP(Vlookup!$B166,'CDCM Volume Forecasts'!$A$27:$AG$123,E$137,FALSE)</f>
        <v>84</v>
      </c>
      <c r="F201" s="8">
        <f>VLOOKUP(Vlookup!$B166,'CDCM Volume Forecasts'!$A$27:$AG$123,F$137,FALSE)</f>
        <v>0</v>
      </c>
      <c r="G201" s="8">
        <f>VLOOKUP(Vlookup!$B166,'CDCM Volume Forecasts'!$A$27:$AG$123,G$137,FALSE)</f>
        <v>0</v>
      </c>
      <c r="H201" s="10"/>
      <c r="I201"/>
      <c r="J201"/>
      <c r="K201"/>
    </row>
    <row r="202" spans="1:11" ht="15">
      <c r="A202" s="11" t="s">
        <v>183</v>
      </c>
      <c r="B202" s="4">
        <f>VLOOKUP(Vlookup!$B167,'CDCM Volume Forecasts'!$A$27:$AG$123,B$137,FALSE)</f>
        <v>0</v>
      </c>
      <c r="C202" s="8">
        <f>VLOOKUP(Vlookup!$B167,'CDCM Volume Forecasts'!$A$27:$AG$123,C$137,FALSE)</f>
        <v>0</v>
      </c>
      <c r="D202" s="8">
        <f>VLOOKUP(Vlookup!$B167,'CDCM Volume Forecasts'!$A$27:$AG$123,D$137,FALSE)</f>
        <v>0</v>
      </c>
      <c r="E202" s="14">
        <f>VLOOKUP(Vlookup!$B167,'CDCM Volume Forecasts'!$A$27:$AG$123,E$137,FALSE)</f>
        <v>0</v>
      </c>
      <c r="F202" s="8">
        <f>VLOOKUP(Vlookup!$B167,'CDCM Volume Forecasts'!$A$27:$AG$123,F$137,FALSE)</f>
        <v>0</v>
      </c>
      <c r="G202" s="8">
        <f>VLOOKUP(Vlookup!$B167,'CDCM Volume Forecasts'!$A$27:$AG$123,G$137,FALSE)</f>
        <v>0</v>
      </c>
      <c r="H202" s="10"/>
      <c r="I202"/>
      <c r="J202"/>
      <c r="K202"/>
    </row>
    <row r="203" spans="1:11" ht="15">
      <c r="A203" s="11" t="s">
        <v>184</v>
      </c>
      <c r="B203" s="4">
        <f>VLOOKUP(Vlookup!$B168,'CDCM Volume Forecasts'!$A$27:$AG$123,B$137,FALSE)</f>
        <v>0</v>
      </c>
      <c r="C203" s="8">
        <f>VLOOKUP(Vlookup!$B168,'CDCM Volume Forecasts'!$A$27:$AG$123,C$137,FALSE)</f>
        <v>0</v>
      </c>
      <c r="D203" s="8">
        <f>VLOOKUP(Vlookup!$B168,'CDCM Volume Forecasts'!$A$27:$AG$123,D$137,FALSE)</f>
        <v>0</v>
      </c>
      <c r="E203" s="14">
        <f>VLOOKUP(Vlookup!$B168,'CDCM Volume Forecasts'!$A$27:$AG$123,E$137,FALSE)</f>
        <v>0</v>
      </c>
      <c r="F203" s="8">
        <f>VLOOKUP(Vlookup!$B168,'CDCM Volume Forecasts'!$A$27:$AG$123,F$137,FALSE)</f>
        <v>0</v>
      </c>
      <c r="G203" s="8">
        <f>VLOOKUP(Vlookup!$B168,'CDCM Volume Forecasts'!$A$27:$AG$123,G$137,FALSE)</f>
        <v>0</v>
      </c>
      <c r="H203" s="10"/>
      <c r="I203"/>
      <c r="J203"/>
      <c r="K203"/>
    </row>
    <row r="204" spans="1:11" ht="15">
      <c r="A204" s="17" t="s">
        <v>185</v>
      </c>
      <c r="B204" s="18">
        <f>VLOOKUP(Vlookup!$B169,'CDCM Volume Forecasts'!$A$27:$AG$123,B$137,FALSE)</f>
        <v>0</v>
      </c>
      <c r="C204" s="18">
        <f>VLOOKUP(Vlookup!$B169,'CDCM Volume Forecasts'!$A$27:$AG$123,C$137,FALSE)</f>
        <v>0</v>
      </c>
      <c r="D204" s="18">
        <f>VLOOKUP(Vlookup!$B169,'CDCM Volume Forecasts'!$A$27:$AG$123,D$137,FALSE)</f>
        <v>0</v>
      </c>
      <c r="E204" s="18">
        <f>VLOOKUP(Vlookup!$B169,'CDCM Volume Forecasts'!$A$27:$AG$123,E$137,FALSE)</f>
        <v>0</v>
      </c>
      <c r="F204" s="18">
        <f>VLOOKUP(Vlookup!$B169,'CDCM Volume Forecasts'!$A$27:$AG$123,F$137,FALSE)</f>
        <v>0</v>
      </c>
      <c r="G204" s="18">
        <f>VLOOKUP(Vlookup!$B169,'CDCM Volume Forecasts'!$A$27:$AG$123,G$137,FALSE)</f>
        <v>0</v>
      </c>
      <c r="H204" s="10"/>
      <c r="I204"/>
      <c r="J204"/>
      <c r="K204"/>
    </row>
    <row r="205" spans="1:11" ht="15">
      <c r="A205" s="11" t="s">
        <v>134</v>
      </c>
      <c r="B205" s="4">
        <f>VLOOKUP(Vlookup!$B170,'CDCM Volume Forecasts'!$A$27:$AG$123,B$137,FALSE)</f>
        <v>0</v>
      </c>
      <c r="C205" s="8">
        <f>VLOOKUP(Vlookup!$B170,'CDCM Volume Forecasts'!$A$27:$AG$123,C$137,FALSE)</f>
        <v>0</v>
      </c>
      <c r="D205" s="8">
        <f>VLOOKUP(Vlookup!$B170,'CDCM Volume Forecasts'!$A$27:$AG$123,D$137,FALSE)</f>
        <v>0</v>
      </c>
      <c r="E205" s="14">
        <f>VLOOKUP(Vlookup!$B170,'CDCM Volume Forecasts'!$A$27:$AG$123,E$137,FALSE)</f>
        <v>1</v>
      </c>
      <c r="F205" s="8">
        <f>VLOOKUP(Vlookup!$B170,'CDCM Volume Forecasts'!$A$27:$AG$123,F$137,FALSE)</f>
        <v>0</v>
      </c>
      <c r="G205" s="8">
        <f>VLOOKUP(Vlookup!$B170,'CDCM Volume Forecasts'!$A$27:$AG$123,G$137,FALSE)</f>
        <v>0</v>
      </c>
      <c r="H205" s="10"/>
      <c r="I205"/>
      <c r="J205"/>
      <c r="K205"/>
    </row>
    <row r="206" spans="1:11" ht="15">
      <c r="A206" s="11" t="s">
        <v>186</v>
      </c>
      <c r="B206" s="4">
        <f>VLOOKUP(Vlookup!$B171,'CDCM Volume Forecasts'!$A$27:$AG$123,B$137,FALSE)</f>
        <v>0</v>
      </c>
      <c r="C206" s="8">
        <f>VLOOKUP(Vlookup!$B171,'CDCM Volume Forecasts'!$A$27:$AG$123,C$137,FALSE)</f>
        <v>0</v>
      </c>
      <c r="D206" s="8">
        <f>VLOOKUP(Vlookup!$B171,'CDCM Volume Forecasts'!$A$27:$AG$123,D$137,FALSE)</f>
        <v>0</v>
      </c>
      <c r="E206" s="14">
        <f>VLOOKUP(Vlookup!$B171,'CDCM Volume Forecasts'!$A$27:$AG$123,E$137,FALSE)</f>
        <v>0</v>
      </c>
      <c r="F206" s="8">
        <f>VLOOKUP(Vlookup!$B171,'CDCM Volume Forecasts'!$A$27:$AG$123,F$137,FALSE)</f>
        <v>0</v>
      </c>
      <c r="G206" s="8">
        <f>VLOOKUP(Vlookup!$B171,'CDCM Volume Forecasts'!$A$27:$AG$123,G$137,FALSE)</f>
        <v>0</v>
      </c>
      <c r="H206" s="10"/>
      <c r="I206"/>
      <c r="J206"/>
      <c r="K206"/>
    </row>
    <row r="207" spans="1:11" ht="15">
      <c r="A207" s="11" t="s">
        <v>187</v>
      </c>
      <c r="B207" s="4">
        <f>VLOOKUP(Vlookup!$B172,'CDCM Volume Forecasts'!$A$27:$AG$123,B$137,FALSE)</f>
        <v>0</v>
      </c>
      <c r="C207" s="8">
        <f>VLOOKUP(Vlookup!$B172,'CDCM Volume Forecasts'!$A$27:$AG$123,C$137,FALSE)</f>
        <v>0</v>
      </c>
      <c r="D207" s="8">
        <f>VLOOKUP(Vlookup!$B172,'CDCM Volume Forecasts'!$A$27:$AG$123,D$137,FALSE)</f>
        <v>0</v>
      </c>
      <c r="E207" s="14">
        <f>VLOOKUP(Vlookup!$B172,'CDCM Volume Forecasts'!$A$27:$AG$123,E$137,FALSE)</f>
        <v>0</v>
      </c>
      <c r="F207" s="8">
        <f>VLOOKUP(Vlookup!$B172,'CDCM Volume Forecasts'!$A$27:$AG$123,F$137,FALSE)</f>
        <v>0</v>
      </c>
      <c r="G207" s="8">
        <f>VLOOKUP(Vlookup!$B172,'CDCM Volume Forecasts'!$A$27:$AG$123,G$137,FALSE)</f>
        <v>0</v>
      </c>
      <c r="H207" s="10"/>
      <c r="I207"/>
      <c r="J207"/>
      <c r="K207"/>
    </row>
    <row r="208" spans="1:11" ht="15">
      <c r="A208" s="17" t="s">
        <v>188</v>
      </c>
      <c r="B208" s="18">
        <f>VLOOKUP(Vlookup!$B173,'CDCM Volume Forecasts'!$A$27:$AG$123,B$137,FALSE)</f>
        <v>0</v>
      </c>
      <c r="C208" s="18">
        <f>VLOOKUP(Vlookup!$B173,'CDCM Volume Forecasts'!$A$27:$AG$123,C$137,FALSE)</f>
        <v>0</v>
      </c>
      <c r="D208" s="18">
        <f>VLOOKUP(Vlookup!$B173,'CDCM Volume Forecasts'!$A$27:$AG$123,D$137,FALSE)</f>
        <v>0</v>
      </c>
      <c r="E208" s="18">
        <f>VLOOKUP(Vlookup!$B173,'CDCM Volume Forecasts'!$A$27:$AG$123,E$137,FALSE)</f>
        <v>0</v>
      </c>
      <c r="F208" s="18">
        <f>VLOOKUP(Vlookup!$B173,'CDCM Volume Forecasts'!$A$27:$AG$123,F$137,FALSE)</f>
        <v>0</v>
      </c>
      <c r="G208" s="18">
        <f>VLOOKUP(Vlookup!$B173,'CDCM Volume Forecasts'!$A$27:$AG$123,G$137,FALSE)</f>
        <v>0</v>
      </c>
      <c r="H208" s="10"/>
      <c r="I208"/>
      <c r="J208"/>
      <c r="K208"/>
    </row>
    <row r="209" spans="1:11" ht="15">
      <c r="A209" s="11" t="s">
        <v>135</v>
      </c>
      <c r="B209" s="4">
        <f>VLOOKUP(Vlookup!$B174,'CDCM Volume Forecasts'!$A$27:$AG$123,B$137,FALSE)</f>
        <v>6228.0959976775684</v>
      </c>
      <c r="C209" s="4">
        <f>VLOOKUP(Vlookup!$B174,'CDCM Volume Forecasts'!$A$27:$AG$123,C$137,FALSE)</f>
        <v>35918.74585465651</v>
      </c>
      <c r="D209" s="4">
        <f>VLOOKUP(Vlookup!$B174,'CDCM Volume Forecasts'!$A$27:$AG$123,D$137,FALSE)</f>
        <v>102458.54632787764</v>
      </c>
      <c r="E209" s="14">
        <f>VLOOKUP(Vlookup!$B174,'CDCM Volume Forecasts'!$A$27:$AG$123,E$137,FALSE)</f>
        <v>26</v>
      </c>
      <c r="F209" s="8">
        <f>VLOOKUP(Vlookup!$B174,'CDCM Volume Forecasts'!$A$27:$AG$123,F$137,FALSE)</f>
        <v>0</v>
      </c>
      <c r="G209" s="8">
        <f>VLOOKUP(Vlookup!$B174,'CDCM Volume Forecasts'!$A$27:$AG$123,G$137,FALSE)</f>
        <v>0</v>
      </c>
      <c r="H209" s="10"/>
      <c r="I209"/>
      <c r="J209"/>
      <c r="K209"/>
    </row>
    <row r="210" spans="1:11" ht="15">
      <c r="A210" s="11" t="s">
        <v>189</v>
      </c>
      <c r="B210" s="4">
        <f>VLOOKUP(Vlookup!$B175,'CDCM Volume Forecasts'!$A$27:$AG$123,B$137,FALSE)</f>
        <v>0</v>
      </c>
      <c r="C210" s="4">
        <f>VLOOKUP(Vlookup!$B175,'CDCM Volume Forecasts'!$A$27:$AG$123,C$137,FALSE)</f>
        <v>0</v>
      </c>
      <c r="D210" s="4">
        <f>VLOOKUP(Vlookup!$B175,'CDCM Volume Forecasts'!$A$27:$AG$123,D$137,FALSE)</f>
        <v>0</v>
      </c>
      <c r="E210" s="14">
        <f>VLOOKUP(Vlookup!$B175,'CDCM Volume Forecasts'!$A$27:$AG$123,E$137,FALSE)</f>
        <v>0</v>
      </c>
      <c r="F210" s="8">
        <f>VLOOKUP(Vlookup!$B175,'CDCM Volume Forecasts'!$A$27:$AG$123,F$137,FALSE)</f>
        <v>0</v>
      </c>
      <c r="G210" s="8">
        <f>VLOOKUP(Vlookup!$B175,'CDCM Volume Forecasts'!$A$27:$AG$123,G$137,FALSE)</f>
        <v>0</v>
      </c>
      <c r="H210" s="10"/>
      <c r="I210"/>
      <c r="J210"/>
      <c r="K210"/>
    </row>
    <row r="211" spans="1:11" ht="15">
      <c r="A211" s="11" t="s">
        <v>190</v>
      </c>
      <c r="B211" s="4">
        <f>VLOOKUP(Vlookup!$B176,'CDCM Volume Forecasts'!$A$27:$AG$123,B$137,FALSE)</f>
        <v>0</v>
      </c>
      <c r="C211" s="4">
        <f>VLOOKUP(Vlookup!$B176,'CDCM Volume Forecasts'!$A$27:$AG$123,C$137,FALSE)</f>
        <v>0</v>
      </c>
      <c r="D211" s="4">
        <f>VLOOKUP(Vlookup!$B176,'CDCM Volume Forecasts'!$A$27:$AG$123,D$137,FALSE)</f>
        <v>0</v>
      </c>
      <c r="E211" s="14">
        <f>VLOOKUP(Vlookup!$B176,'CDCM Volume Forecasts'!$A$27:$AG$123,E$137,FALSE)</f>
        <v>0</v>
      </c>
      <c r="F211" s="8">
        <f>VLOOKUP(Vlookup!$B176,'CDCM Volume Forecasts'!$A$27:$AG$123,F$137,FALSE)</f>
        <v>0</v>
      </c>
      <c r="G211" s="8">
        <f>VLOOKUP(Vlookup!$B176,'CDCM Volume Forecasts'!$A$27:$AG$123,G$137,FALSE)</f>
        <v>0</v>
      </c>
      <c r="H211" s="10"/>
      <c r="I211"/>
      <c r="J211"/>
      <c r="K211"/>
    </row>
    <row r="212" spans="1:11" ht="15">
      <c r="A212" s="17" t="s">
        <v>1648</v>
      </c>
      <c r="B212" s="18">
        <f>VLOOKUP(Vlookup!$B177,'CDCM Volume Forecasts'!$A$27:$AG$123,B$137,FALSE)</f>
        <v>0</v>
      </c>
      <c r="C212" s="18">
        <f>VLOOKUP(Vlookup!$B177,'CDCM Volume Forecasts'!$A$27:$AG$123,C$137,FALSE)</f>
        <v>0</v>
      </c>
      <c r="D212" s="18">
        <f>VLOOKUP(Vlookup!$B177,'CDCM Volume Forecasts'!$A$27:$AG$123,D$137,FALSE)</f>
        <v>0</v>
      </c>
      <c r="E212" s="18">
        <f>VLOOKUP(Vlookup!$B177,'CDCM Volume Forecasts'!$A$27:$AG$123,E$137,FALSE)</f>
        <v>0</v>
      </c>
      <c r="F212" s="18">
        <f>VLOOKUP(Vlookup!$B177,'CDCM Volume Forecasts'!$A$27:$AG$123,F$137,FALSE)</f>
        <v>0</v>
      </c>
      <c r="G212" s="18">
        <f>VLOOKUP(Vlookup!$B177,'CDCM Volume Forecasts'!$A$27:$AG$123,G$137,FALSE)</f>
        <v>0</v>
      </c>
      <c r="H212" s="10"/>
      <c r="I212"/>
      <c r="J212"/>
      <c r="K212"/>
    </row>
    <row r="213" spans="1:11" ht="15">
      <c r="A213" s="11" t="s">
        <v>1645</v>
      </c>
      <c r="B213" s="4">
        <f>VLOOKUP(Vlookup!$B178,'CDCM Volume Forecasts'!$A$27:$AG$123,B$137,FALSE)</f>
        <v>602.29748729184382</v>
      </c>
      <c r="C213" s="8">
        <f>VLOOKUP(Vlookup!$B178,'CDCM Volume Forecasts'!$A$27:$AG$123,C$137,FALSE)</f>
        <v>0</v>
      </c>
      <c r="D213" s="8">
        <f>VLOOKUP(Vlookup!$B178,'CDCM Volume Forecasts'!$A$27:$AG$123,D$137,FALSE)</f>
        <v>0</v>
      </c>
      <c r="E213" s="14">
        <f>VLOOKUP(Vlookup!$B178,'CDCM Volume Forecasts'!$A$27:$AG$123,E$137,FALSE)</f>
        <v>130</v>
      </c>
      <c r="F213" s="8">
        <f>VLOOKUP(Vlookup!$B178,'CDCM Volume Forecasts'!$A$27:$AG$123,F$137,FALSE)</f>
        <v>0</v>
      </c>
      <c r="G213" s="8">
        <f>VLOOKUP(Vlookup!$B178,'CDCM Volume Forecasts'!$A$27:$AG$123,G$137,FALSE)</f>
        <v>0</v>
      </c>
      <c r="H213" s="10"/>
      <c r="I213"/>
      <c r="J213"/>
      <c r="K213"/>
    </row>
    <row r="214" spans="1:11" ht="15">
      <c r="A214" s="11" t="s">
        <v>1642</v>
      </c>
      <c r="B214" s="4">
        <f>VLOOKUP(Vlookup!$B179,'CDCM Volume Forecasts'!$A$27:$AG$123,B$137,FALSE)</f>
        <v>0</v>
      </c>
      <c r="C214" s="8">
        <f>VLOOKUP(Vlookup!$B179,'CDCM Volume Forecasts'!$A$27:$AG$123,C$137,FALSE)</f>
        <v>0</v>
      </c>
      <c r="D214" s="8">
        <f>VLOOKUP(Vlookup!$B179,'CDCM Volume Forecasts'!$A$27:$AG$123,D$137,FALSE)</f>
        <v>0</v>
      </c>
      <c r="E214" s="14">
        <f>VLOOKUP(Vlookup!$B179,'CDCM Volume Forecasts'!$A$27:$AG$123,E$137,FALSE)</f>
        <v>0</v>
      </c>
      <c r="F214" s="8">
        <f>VLOOKUP(Vlookup!$B179,'CDCM Volume Forecasts'!$A$27:$AG$123,F$137,FALSE)</f>
        <v>0</v>
      </c>
      <c r="G214" s="8">
        <f>VLOOKUP(Vlookup!$B179,'CDCM Volume Forecasts'!$A$27:$AG$123,G$137,FALSE)</f>
        <v>0</v>
      </c>
      <c r="H214" s="10"/>
      <c r="I214"/>
      <c r="J214"/>
      <c r="K214"/>
    </row>
    <row r="215" spans="1:11" ht="15">
      <c r="A215" s="11" t="s">
        <v>1639</v>
      </c>
      <c r="B215" s="4">
        <f>VLOOKUP(Vlookup!$B180,'CDCM Volume Forecasts'!$A$27:$AG$123,B$137,FALSE)</f>
        <v>0</v>
      </c>
      <c r="C215" s="8">
        <f>VLOOKUP(Vlookup!$B180,'CDCM Volume Forecasts'!$A$27:$AG$123,C$137,FALSE)</f>
        <v>0</v>
      </c>
      <c r="D215" s="8">
        <f>VLOOKUP(Vlookup!$B180,'CDCM Volume Forecasts'!$A$27:$AG$123,D$137,FALSE)</f>
        <v>0</v>
      </c>
      <c r="E215" s="14">
        <f>VLOOKUP(Vlookup!$B180,'CDCM Volume Forecasts'!$A$27:$AG$123,E$137,FALSE)</f>
        <v>0</v>
      </c>
      <c r="F215" s="8">
        <f>VLOOKUP(Vlookup!$B180,'CDCM Volume Forecasts'!$A$27:$AG$123,F$137,FALSE)</f>
        <v>0</v>
      </c>
      <c r="G215" s="8">
        <f>VLOOKUP(Vlookup!$B180,'CDCM Volume Forecasts'!$A$27:$AG$123,G$137,FALSE)</f>
        <v>0</v>
      </c>
      <c r="H215" s="10"/>
      <c r="I215"/>
      <c r="J215"/>
      <c r="K215"/>
    </row>
    <row r="216" spans="1:11" ht="15">
      <c r="A216" s="17" t="s">
        <v>191</v>
      </c>
      <c r="B216" s="18">
        <f>VLOOKUP(Vlookup!$B181,'CDCM Volume Forecasts'!$A$27:$AG$123,B$137,FALSE)</f>
        <v>0</v>
      </c>
      <c r="C216" s="18">
        <f>VLOOKUP(Vlookup!$B181,'CDCM Volume Forecasts'!$A$27:$AG$123,C$137,FALSE)</f>
        <v>0</v>
      </c>
      <c r="D216" s="18">
        <f>VLOOKUP(Vlookup!$B181,'CDCM Volume Forecasts'!$A$27:$AG$123,D$137,FALSE)</f>
        <v>0</v>
      </c>
      <c r="E216" s="18">
        <f>VLOOKUP(Vlookup!$B181,'CDCM Volume Forecasts'!$A$27:$AG$123,E$137,FALSE)</f>
        <v>0</v>
      </c>
      <c r="F216" s="18">
        <f>VLOOKUP(Vlookup!$B181,'CDCM Volume Forecasts'!$A$27:$AG$123,F$137,FALSE)</f>
        <v>0</v>
      </c>
      <c r="G216" s="18">
        <f>VLOOKUP(Vlookup!$B181,'CDCM Volume Forecasts'!$A$27:$AG$123,G$137,FALSE)</f>
        <v>0</v>
      </c>
      <c r="H216" s="10"/>
      <c r="I216"/>
      <c r="J216"/>
      <c r="K216"/>
    </row>
    <row r="217" spans="1:11" ht="15">
      <c r="A217" s="11" t="s">
        <v>100</v>
      </c>
      <c r="B217" s="4">
        <f>VLOOKUP(Vlookup!$B182,'CDCM Volume Forecasts'!$A$27:$AG$123,B$137,FALSE)</f>
        <v>0</v>
      </c>
      <c r="C217" s="8">
        <f>VLOOKUP(Vlookup!$B182,'CDCM Volume Forecasts'!$A$27:$AG$123,C$137,FALSE)</f>
        <v>0</v>
      </c>
      <c r="D217" s="8">
        <f>VLOOKUP(Vlookup!$B182,'CDCM Volume Forecasts'!$A$27:$AG$123,D$137,FALSE)</f>
        <v>0</v>
      </c>
      <c r="E217" s="14">
        <f>VLOOKUP(Vlookup!$B182,'CDCM Volume Forecasts'!$A$27:$AG$123,E$137,FALSE)</f>
        <v>0</v>
      </c>
      <c r="F217" s="8">
        <f>VLOOKUP(Vlookup!$B182,'CDCM Volume Forecasts'!$A$27:$AG$123,F$137,FALSE)</f>
        <v>0</v>
      </c>
      <c r="G217" s="8">
        <f>VLOOKUP(Vlookup!$B182,'CDCM Volume Forecasts'!$A$27:$AG$123,G$137,FALSE)</f>
        <v>0</v>
      </c>
      <c r="H217" s="10"/>
      <c r="I217"/>
      <c r="J217"/>
      <c r="K217"/>
    </row>
    <row r="218" spans="1:11" ht="15">
      <c r="A218" s="11" t="s">
        <v>192</v>
      </c>
      <c r="B218" s="4">
        <f>VLOOKUP(Vlookup!$B183,'CDCM Volume Forecasts'!$A$27:$AG$123,B$137,FALSE)</f>
        <v>0</v>
      </c>
      <c r="C218" s="8">
        <f>VLOOKUP(Vlookup!$B183,'CDCM Volume Forecasts'!$A$27:$AG$123,C$137,FALSE)</f>
        <v>0</v>
      </c>
      <c r="D218" s="8">
        <f>VLOOKUP(Vlookup!$B183,'CDCM Volume Forecasts'!$A$27:$AG$123,D$137,FALSE)</f>
        <v>0</v>
      </c>
      <c r="E218" s="14">
        <f>VLOOKUP(Vlookup!$B183,'CDCM Volume Forecasts'!$A$27:$AG$123,E$137,FALSE)</f>
        <v>0</v>
      </c>
      <c r="F218" s="8">
        <f>VLOOKUP(Vlookup!$B183,'CDCM Volume Forecasts'!$A$27:$AG$123,F$137,FALSE)</f>
        <v>0</v>
      </c>
      <c r="G218" s="8">
        <f>VLOOKUP(Vlookup!$B183,'CDCM Volume Forecasts'!$A$27:$AG$123,G$137,FALSE)</f>
        <v>0</v>
      </c>
      <c r="H218" s="10"/>
      <c r="I218"/>
      <c r="J218"/>
      <c r="K218"/>
    </row>
    <row r="219" spans="1:11" ht="15">
      <c r="A219" s="17" t="s">
        <v>193</v>
      </c>
      <c r="B219" s="18">
        <f>VLOOKUP(Vlookup!$B184,'CDCM Volume Forecasts'!$A$27:$AG$123,B$137,FALSE)</f>
        <v>0</v>
      </c>
      <c r="C219" s="18">
        <f>VLOOKUP(Vlookup!$B184,'CDCM Volume Forecasts'!$A$27:$AG$123,C$137,FALSE)</f>
        <v>0</v>
      </c>
      <c r="D219" s="18">
        <f>VLOOKUP(Vlookup!$B184,'CDCM Volume Forecasts'!$A$27:$AG$123,D$137,FALSE)</f>
        <v>0</v>
      </c>
      <c r="E219" s="18">
        <f>VLOOKUP(Vlookup!$B184,'CDCM Volume Forecasts'!$A$27:$AG$123,E$137,FALSE)</f>
        <v>0</v>
      </c>
      <c r="F219" s="18">
        <f>VLOOKUP(Vlookup!$B184,'CDCM Volume Forecasts'!$A$27:$AG$123,F$137,FALSE)</f>
        <v>0</v>
      </c>
      <c r="G219" s="18">
        <f>VLOOKUP(Vlookup!$B184,'CDCM Volume Forecasts'!$A$27:$AG$123,G$137,FALSE)</f>
        <v>0</v>
      </c>
      <c r="H219" s="10"/>
      <c r="I219"/>
      <c r="J219"/>
      <c r="K219"/>
    </row>
    <row r="220" spans="1:11" ht="15">
      <c r="A220" s="11" t="s">
        <v>101</v>
      </c>
      <c r="B220" s="4">
        <f>VLOOKUP(Vlookup!$B185,'CDCM Volume Forecasts'!$A$27:$AG$123,B$137,FALSE)</f>
        <v>9529.9504738031992</v>
      </c>
      <c r="C220" s="8">
        <f>VLOOKUP(Vlookup!$B185,'CDCM Volume Forecasts'!$A$27:$AG$123,C$137,FALSE)</f>
        <v>0</v>
      </c>
      <c r="D220" s="8">
        <f>VLOOKUP(Vlookup!$B185,'CDCM Volume Forecasts'!$A$27:$AG$123,D$137,FALSE)</f>
        <v>0</v>
      </c>
      <c r="E220" s="14">
        <f>VLOOKUP(Vlookup!$B185,'CDCM Volume Forecasts'!$A$27:$AG$123,E$137,FALSE)</f>
        <v>146</v>
      </c>
      <c r="F220" s="8">
        <f>VLOOKUP(Vlookup!$B185,'CDCM Volume Forecasts'!$A$27:$AG$123,F$137,FALSE)</f>
        <v>0</v>
      </c>
      <c r="G220" s="4">
        <f>VLOOKUP(Vlookup!$B185,'CDCM Volume Forecasts'!$A$27:$AG$123,G$137,FALSE)</f>
        <v>338</v>
      </c>
      <c r="H220" s="10"/>
      <c r="I220"/>
      <c r="J220"/>
      <c r="K220"/>
    </row>
    <row r="221" spans="1:11" ht="15">
      <c r="A221" s="11" t="s">
        <v>194</v>
      </c>
      <c r="B221" s="4">
        <f>VLOOKUP(Vlookup!$B186,'CDCM Volume Forecasts'!$A$27:$AG$123,B$137,FALSE)</f>
        <v>0</v>
      </c>
      <c r="C221" s="8">
        <f>VLOOKUP(Vlookup!$B186,'CDCM Volume Forecasts'!$A$27:$AG$123,C$137,FALSE)</f>
        <v>0</v>
      </c>
      <c r="D221" s="8">
        <f>VLOOKUP(Vlookup!$B186,'CDCM Volume Forecasts'!$A$27:$AG$123,D$137,FALSE)</f>
        <v>0</v>
      </c>
      <c r="E221" s="14">
        <f>VLOOKUP(Vlookup!$B186,'CDCM Volume Forecasts'!$A$27:$AG$123,E$137,FALSE)</f>
        <v>0</v>
      </c>
      <c r="F221" s="8">
        <f>VLOOKUP(Vlookup!$B186,'CDCM Volume Forecasts'!$A$27:$AG$123,F$137,FALSE)</f>
        <v>0</v>
      </c>
      <c r="G221" s="4">
        <f>VLOOKUP(Vlookup!$B186,'CDCM Volume Forecasts'!$A$27:$AG$123,G$137,FALSE)</f>
        <v>0</v>
      </c>
      <c r="H221" s="10"/>
      <c r="I221"/>
      <c r="J221"/>
      <c r="K221"/>
    </row>
    <row r="222" spans="1:11" ht="15">
      <c r="A222" s="11" t="s">
        <v>195</v>
      </c>
      <c r="B222" s="4">
        <f>VLOOKUP(Vlookup!$B187,'CDCM Volume Forecasts'!$A$27:$AG$123,B$137,FALSE)</f>
        <v>0</v>
      </c>
      <c r="C222" s="8">
        <f>VLOOKUP(Vlookup!$B187,'CDCM Volume Forecasts'!$A$27:$AG$123,C$137,FALSE)</f>
        <v>0</v>
      </c>
      <c r="D222" s="8">
        <f>VLOOKUP(Vlookup!$B187,'CDCM Volume Forecasts'!$A$27:$AG$123,D$137,FALSE)</f>
        <v>0</v>
      </c>
      <c r="E222" s="14">
        <f>VLOOKUP(Vlookup!$B187,'CDCM Volume Forecasts'!$A$27:$AG$123,E$137,FALSE)</f>
        <v>0</v>
      </c>
      <c r="F222" s="8">
        <f>VLOOKUP(Vlookup!$B187,'CDCM Volume Forecasts'!$A$27:$AG$123,F$137,FALSE)</f>
        <v>0</v>
      </c>
      <c r="G222" s="4">
        <f>VLOOKUP(Vlookup!$B187,'CDCM Volume Forecasts'!$A$27:$AG$123,G$137,FALSE)</f>
        <v>0</v>
      </c>
      <c r="H222" s="10"/>
      <c r="I222"/>
      <c r="J222"/>
      <c r="K222"/>
    </row>
    <row r="223" spans="1:11" ht="15">
      <c r="A223" s="17" t="s">
        <v>196</v>
      </c>
      <c r="B223" s="18">
        <f>VLOOKUP(Vlookup!$B188,'CDCM Volume Forecasts'!$A$27:$AG$123,B$137,FALSE)</f>
        <v>0</v>
      </c>
      <c r="C223" s="18">
        <f>VLOOKUP(Vlookup!$B188,'CDCM Volume Forecasts'!$A$27:$AG$123,C$137,FALSE)</f>
        <v>0</v>
      </c>
      <c r="D223" s="18">
        <f>VLOOKUP(Vlookup!$B188,'CDCM Volume Forecasts'!$A$27:$AG$123,D$137,FALSE)</f>
        <v>0</v>
      </c>
      <c r="E223" s="18">
        <f>VLOOKUP(Vlookup!$B188,'CDCM Volume Forecasts'!$A$27:$AG$123,E$137,FALSE)</f>
        <v>0</v>
      </c>
      <c r="F223" s="18">
        <f>VLOOKUP(Vlookup!$B188,'CDCM Volume Forecasts'!$A$27:$AG$123,F$137,FALSE)</f>
        <v>0</v>
      </c>
      <c r="G223" s="18">
        <f>VLOOKUP(Vlookup!$B188,'CDCM Volume Forecasts'!$A$27:$AG$123,G$137,FALSE)</f>
        <v>0</v>
      </c>
      <c r="H223" s="10"/>
      <c r="I223"/>
      <c r="J223"/>
      <c r="K223"/>
    </row>
    <row r="224" spans="1:11" ht="15">
      <c r="A224" s="11" t="s">
        <v>102</v>
      </c>
      <c r="B224" s="4">
        <f>VLOOKUP(Vlookup!$B189,'CDCM Volume Forecasts'!$A$27:$AG$123,B$137,FALSE)</f>
        <v>130.2286029240839</v>
      </c>
      <c r="C224" s="4">
        <f>VLOOKUP(Vlookup!$B189,'CDCM Volume Forecasts'!$A$27:$AG$123,C$137,FALSE)</f>
        <v>867.1493329537202</v>
      </c>
      <c r="D224" s="4">
        <f>VLOOKUP(Vlookup!$B189,'CDCM Volume Forecasts'!$A$27:$AG$123,D$137,FALSE)</f>
        <v>897.89995991983972</v>
      </c>
      <c r="E224" s="14">
        <f>VLOOKUP(Vlookup!$B189,'CDCM Volume Forecasts'!$A$27:$AG$123,E$137,FALSE)</f>
        <v>11</v>
      </c>
      <c r="F224" s="8">
        <f>VLOOKUP(Vlookup!$B189,'CDCM Volume Forecasts'!$A$27:$AG$123,F$137,FALSE)</f>
        <v>0</v>
      </c>
      <c r="G224" s="4">
        <f>VLOOKUP(Vlookup!$B189,'CDCM Volume Forecasts'!$A$27:$AG$123,G$137,FALSE)</f>
        <v>31</v>
      </c>
      <c r="H224" s="10"/>
      <c r="I224"/>
      <c r="J224"/>
      <c r="K224"/>
    </row>
    <row r="225" spans="1:11" ht="15">
      <c r="A225" s="11" t="s">
        <v>197</v>
      </c>
      <c r="B225" s="4">
        <f>VLOOKUP(Vlookup!$B190,'CDCM Volume Forecasts'!$A$27:$AG$123,B$137,FALSE)</f>
        <v>0</v>
      </c>
      <c r="C225" s="4">
        <f>VLOOKUP(Vlookup!$B190,'CDCM Volume Forecasts'!$A$27:$AG$123,C$137,FALSE)</f>
        <v>0</v>
      </c>
      <c r="D225" s="4">
        <f>VLOOKUP(Vlookup!$B190,'CDCM Volume Forecasts'!$A$27:$AG$123,D$137,FALSE)</f>
        <v>0</v>
      </c>
      <c r="E225" s="14">
        <f>VLOOKUP(Vlookup!$B190,'CDCM Volume Forecasts'!$A$27:$AG$123,E$137,FALSE)</f>
        <v>0</v>
      </c>
      <c r="F225" s="8">
        <f>VLOOKUP(Vlookup!$B190,'CDCM Volume Forecasts'!$A$27:$AG$123,F$137,FALSE)</f>
        <v>0</v>
      </c>
      <c r="G225" s="4">
        <f>VLOOKUP(Vlookup!$B190,'CDCM Volume Forecasts'!$A$27:$AG$123,G$137,FALSE)</f>
        <v>0</v>
      </c>
      <c r="H225" s="10"/>
      <c r="I225"/>
      <c r="J225"/>
      <c r="K225"/>
    </row>
    <row r="226" spans="1:11" ht="15">
      <c r="A226" s="11" t="s">
        <v>198</v>
      </c>
      <c r="B226" s="4">
        <f>VLOOKUP(Vlookup!$B191,'CDCM Volume Forecasts'!$A$27:$AG$123,B$137,FALSE)</f>
        <v>0</v>
      </c>
      <c r="C226" s="4">
        <f>VLOOKUP(Vlookup!$B191,'CDCM Volume Forecasts'!$A$27:$AG$123,C$137,FALSE)</f>
        <v>0</v>
      </c>
      <c r="D226" s="4">
        <f>VLOOKUP(Vlookup!$B191,'CDCM Volume Forecasts'!$A$27:$AG$123,D$137,FALSE)</f>
        <v>0</v>
      </c>
      <c r="E226" s="14">
        <f>VLOOKUP(Vlookup!$B191,'CDCM Volume Forecasts'!$A$27:$AG$123,E$137,FALSE)</f>
        <v>0</v>
      </c>
      <c r="F226" s="8">
        <f>VLOOKUP(Vlookup!$B191,'CDCM Volume Forecasts'!$A$27:$AG$123,F$137,FALSE)</f>
        <v>0</v>
      </c>
      <c r="G226" s="4">
        <f>VLOOKUP(Vlookup!$B191,'CDCM Volume Forecasts'!$A$27:$AG$123,G$137,FALSE)</f>
        <v>0</v>
      </c>
      <c r="H226" s="10"/>
      <c r="I226"/>
      <c r="J226"/>
      <c r="K226"/>
    </row>
    <row r="227" spans="1:11" ht="15">
      <c r="A227" s="17" t="s">
        <v>199</v>
      </c>
      <c r="B227" s="18">
        <f>VLOOKUP(Vlookup!$B192,'CDCM Volume Forecasts'!$A$27:$AG$123,B$137,FALSE)</f>
        <v>0</v>
      </c>
      <c r="C227" s="18">
        <f>VLOOKUP(Vlookup!$B192,'CDCM Volume Forecasts'!$A$27:$AG$123,C$137,FALSE)</f>
        <v>0</v>
      </c>
      <c r="D227" s="18">
        <f>VLOOKUP(Vlookup!$B192,'CDCM Volume Forecasts'!$A$27:$AG$123,D$137,FALSE)</f>
        <v>0</v>
      </c>
      <c r="E227" s="18">
        <f>VLOOKUP(Vlookup!$B192,'CDCM Volume Forecasts'!$A$27:$AG$123,E$137,FALSE)</f>
        <v>0</v>
      </c>
      <c r="F227" s="18">
        <f>VLOOKUP(Vlookup!$B192,'CDCM Volume Forecasts'!$A$27:$AG$123,F$137,FALSE)</f>
        <v>0</v>
      </c>
      <c r="G227" s="18">
        <f>VLOOKUP(Vlookup!$B192,'CDCM Volume Forecasts'!$A$27:$AG$123,G$137,FALSE)</f>
        <v>0</v>
      </c>
      <c r="H227" s="10"/>
      <c r="I227"/>
      <c r="J227"/>
      <c r="K227"/>
    </row>
    <row r="228" spans="1:11" ht="15">
      <c r="A228" s="11" t="s">
        <v>103</v>
      </c>
      <c r="B228" s="4">
        <f>VLOOKUP(Vlookup!$B193,'CDCM Volume Forecasts'!$A$27:$AG$123,B$137,FALSE)</f>
        <v>37.670999999999999</v>
      </c>
      <c r="C228" s="8">
        <f>VLOOKUP(Vlookup!$B193,'CDCM Volume Forecasts'!$A$27:$AG$123,C$137,FALSE)</f>
        <v>0</v>
      </c>
      <c r="D228" s="8">
        <f>VLOOKUP(Vlookup!$B193,'CDCM Volume Forecasts'!$A$27:$AG$123,D$137,FALSE)</f>
        <v>0</v>
      </c>
      <c r="E228" s="14">
        <f>VLOOKUP(Vlookup!$B193,'CDCM Volume Forecasts'!$A$27:$AG$123,E$137,FALSE)</f>
        <v>1</v>
      </c>
      <c r="F228" s="8">
        <f>VLOOKUP(Vlookup!$B193,'CDCM Volume Forecasts'!$A$27:$AG$123,F$137,FALSE)</f>
        <v>0</v>
      </c>
      <c r="G228" s="4">
        <f>VLOOKUP(Vlookup!$B193,'CDCM Volume Forecasts'!$A$27:$AG$123,G$137,FALSE)</f>
        <v>0</v>
      </c>
      <c r="H228" s="10"/>
      <c r="I228"/>
      <c r="J228"/>
      <c r="K228"/>
    </row>
    <row r="229" spans="1:11" ht="15">
      <c r="A229" s="11" t="s">
        <v>200</v>
      </c>
      <c r="B229" s="4">
        <f>VLOOKUP(Vlookup!$B194,'CDCM Volume Forecasts'!$A$27:$AG$123,B$137,FALSE)</f>
        <v>0</v>
      </c>
      <c r="C229" s="8">
        <f>VLOOKUP(Vlookup!$B194,'CDCM Volume Forecasts'!$A$27:$AG$123,C$137,FALSE)</f>
        <v>0</v>
      </c>
      <c r="D229" s="8">
        <f>VLOOKUP(Vlookup!$B194,'CDCM Volume Forecasts'!$A$27:$AG$123,D$137,FALSE)</f>
        <v>0</v>
      </c>
      <c r="E229" s="14">
        <f>VLOOKUP(Vlookup!$B194,'CDCM Volume Forecasts'!$A$27:$AG$123,E$137,FALSE)</f>
        <v>0</v>
      </c>
      <c r="F229" s="8">
        <f>VLOOKUP(Vlookup!$B194,'CDCM Volume Forecasts'!$A$27:$AG$123,F$137,FALSE)</f>
        <v>0</v>
      </c>
      <c r="G229" s="4">
        <f>VLOOKUP(Vlookup!$B194,'CDCM Volume Forecasts'!$A$27:$AG$123,G$137,FALSE)</f>
        <v>0</v>
      </c>
      <c r="H229" s="10"/>
      <c r="I229"/>
      <c r="J229"/>
      <c r="K229"/>
    </row>
    <row r="230" spans="1:11" ht="15">
      <c r="A230" s="17" t="s">
        <v>201</v>
      </c>
      <c r="B230" s="18">
        <f>VLOOKUP(Vlookup!$B195,'CDCM Volume Forecasts'!$A$27:$AG$123,B$137,FALSE)</f>
        <v>0</v>
      </c>
      <c r="C230" s="18">
        <f>VLOOKUP(Vlookup!$B195,'CDCM Volume Forecasts'!$A$27:$AG$123,C$137,FALSE)</f>
        <v>0</v>
      </c>
      <c r="D230" s="18">
        <f>VLOOKUP(Vlookup!$B195,'CDCM Volume Forecasts'!$A$27:$AG$123,D$137,FALSE)</f>
        <v>0</v>
      </c>
      <c r="E230" s="18">
        <f>VLOOKUP(Vlookup!$B195,'CDCM Volume Forecasts'!$A$27:$AG$123,E$137,FALSE)</f>
        <v>0</v>
      </c>
      <c r="F230" s="18">
        <f>VLOOKUP(Vlookup!$B195,'CDCM Volume Forecasts'!$A$27:$AG$123,F$137,FALSE)</f>
        <v>0</v>
      </c>
      <c r="G230" s="18">
        <f>VLOOKUP(Vlookup!$B195,'CDCM Volume Forecasts'!$A$27:$AG$123,G$137,FALSE)</f>
        <v>0</v>
      </c>
      <c r="H230" s="10"/>
      <c r="I230"/>
      <c r="J230"/>
      <c r="K230"/>
    </row>
    <row r="231" spans="1:11" ht="15">
      <c r="A231" s="11" t="s">
        <v>104</v>
      </c>
      <c r="B231" s="4">
        <f>VLOOKUP(Vlookup!$B196,'CDCM Volume Forecasts'!$A$27:$AG$123,B$137,FALSE)</f>
        <v>0</v>
      </c>
      <c r="C231" s="4">
        <f>VLOOKUP(Vlookup!$B196,'CDCM Volume Forecasts'!$A$27:$AG$123,C$137,FALSE)</f>
        <v>0</v>
      </c>
      <c r="D231" s="4">
        <f>VLOOKUP(Vlookup!$B196,'CDCM Volume Forecasts'!$A$27:$AG$123,D$137,FALSE)</f>
        <v>0</v>
      </c>
      <c r="E231" s="14">
        <f>VLOOKUP(Vlookup!$B196,'CDCM Volume Forecasts'!$A$27:$AG$123,E$137,FALSE)</f>
        <v>0</v>
      </c>
      <c r="F231" s="8">
        <f>VLOOKUP(Vlookup!$B196,'CDCM Volume Forecasts'!$A$27:$AG$123,F$137,FALSE)</f>
        <v>0</v>
      </c>
      <c r="G231" s="4">
        <f>VLOOKUP(Vlookup!$B196,'CDCM Volume Forecasts'!$A$27:$AG$123,G$137,FALSE)</f>
        <v>0</v>
      </c>
      <c r="H231" s="10"/>
      <c r="I231"/>
      <c r="J231"/>
      <c r="K231"/>
    </row>
    <row r="232" spans="1:11" ht="15">
      <c r="A232" s="11" t="s">
        <v>202</v>
      </c>
      <c r="B232" s="4">
        <f>VLOOKUP(Vlookup!$B197,'CDCM Volume Forecasts'!$A$27:$AG$123,B$137,FALSE)</f>
        <v>0</v>
      </c>
      <c r="C232" s="4">
        <f>VLOOKUP(Vlookup!$B197,'CDCM Volume Forecasts'!$A$27:$AG$123,C$137,FALSE)</f>
        <v>0</v>
      </c>
      <c r="D232" s="4">
        <f>VLOOKUP(Vlookup!$B197,'CDCM Volume Forecasts'!$A$27:$AG$123,D$137,FALSE)</f>
        <v>0</v>
      </c>
      <c r="E232" s="14">
        <f>VLOOKUP(Vlookup!$B197,'CDCM Volume Forecasts'!$A$27:$AG$123,E$137,FALSE)</f>
        <v>0</v>
      </c>
      <c r="F232" s="8">
        <f>VLOOKUP(Vlookup!$B197,'CDCM Volume Forecasts'!$A$27:$AG$123,F$137,FALSE)</f>
        <v>0</v>
      </c>
      <c r="G232" s="4">
        <f>VLOOKUP(Vlookup!$B197,'CDCM Volume Forecasts'!$A$27:$AG$123,G$137,FALSE)</f>
        <v>0</v>
      </c>
      <c r="H232" s="10"/>
      <c r="I232"/>
      <c r="J232"/>
      <c r="K232"/>
    </row>
    <row r="233" spans="1:11" ht="15">
      <c r="A233" s="17" t="s">
        <v>203</v>
      </c>
      <c r="B233" s="18">
        <f>VLOOKUP(Vlookup!$B198,'CDCM Volume Forecasts'!$A$27:$AG$123,B$137,FALSE)</f>
        <v>0</v>
      </c>
      <c r="C233" s="18">
        <f>VLOOKUP(Vlookup!$B198,'CDCM Volume Forecasts'!$A$27:$AG$123,C$137,FALSE)</f>
        <v>0</v>
      </c>
      <c r="D233" s="18">
        <f>VLOOKUP(Vlookup!$B198,'CDCM Volume Forecasts'!$A$27:$AG$123,D$137,FALSE)</f>
        <v>0</v>
      </c>
      <c r="E233" s="18">
        <f>VLOOKUP(Vlookup!$B198,'CDCM Volume Forecasts'!$A$27:$AG$123,E$137,FALSE)</f>
        <v>0</v>
      </c>
      <c r="F233" s="18">
        <f>VLOOKUP(Vlookup!$B198,'CDCM Volume Forecasts'!$A$27:$AG$123,F$137,FALSE)</f>
        <v>0</v>
      </c>
      <c r="G233" s="18">
        <f>VLOOKUP(Vlookup!$B198,'CDCM Volume Forecasts'!$A$27:$AG$123,G$137,FALSE)</f>
        <v>0</v>
      </c>
      <c r="H233" s="10"/>
      <c r="I233"/>
      <c r="J233"/>
      <c r="K233"/>
    </row>
    <row r="234" spans="1:11" ht="15">
      <c r="A234" s="11" t="s">
        <v>112</v>
      </c>
      <c r="B234" s="4">
        <f>VLOOKUP(Vlookup!$B199,'CDCM Volume Forecasts'!$A$27:$AG$123,B$137,FALSE)</f>
        <v>44577.689286771631</v>
      </c>
      <c r="C234" s="8">
        <f>VLOOKUP(Vlookup!$B199,'CDCM Volume Forecasts'!$A$27:$AG$123,C$137,FALSE)</f>
        <v>0</v>
      </c>
      <c r="D234" s="8">
        <f>VLOOKUP(Vlookup!$B199,'CDCM Volume Forecasts'!$A$27:$AG$123,D$137,FALSE)</f>
        <v>0</v>
      </c>
      <c r="E234" s="14">
        <f>VLOOKUP(Vlookup!$B199,'CDCM Volume Forecasts'!$A$27:$AG$123,E$137,FALSE)</f>
        <v>27</v>
      </c>
      <c r="F234" s="8">
        <f>VLOOKUP(Vlookup!$B199,'CDCM Volume Forecasts'!$A$27:$AG$123,F$137,FALSE)</f>
        <v>0</v>
      </c>
      <c r="G234" s="4">
        <f>VLOOKUP(Vlookup!$B199,'CDCM Volume Forecasts'!$A$27:$AG$123,G$137,FALSE)</f>
        <v>859</v>
      </c>
      <c r="H234" s="10"/>
      <c r="I234"/>
      <c r="J234"/>
      <c r="K234"/>
    </row>
    <row r="235" spans="1:11" ht="15">
      <c r="A235" s="11" t="s">
        <v>204</v>
      </c>
      <c r="B235" s="4">
        <f>VLOOKUP(Vlookup!$B200,'CDCM Volume Forecasts'!$A$27:$AG$123,B$137,FALSE)</f>
        <v>0</v>
      </c>
      <c r="C235" s="8">
        <f>VLOOKUP(Vlookup!$B200,'CDCM Volume Forecasts'!$A$27:$AG$123,C$137,FALSE)</f>
        <v>0</v>
      </c>
      <c r="D235" s="8">
        <f>VLOOKUP(Vlookup!$B200,'CDCM Volume Forecasts'!$A$27:$AG$123,D$137,FALSE)</f>
        <v>0</v>
      </c>
      <c r="E235" s="14">
        <f>VLOOKUP(Vlookup!$B200,'CDCM Volume Forecasts'!$A$27:$AG$123,E$137,FALSE)</f>
        <v>0</v>
      </c>
      <c r="F235" s="8">
        <f>VLOOKUP(Vlookup!$B200,'CDCM Volume Forecasts'!$A$27:$AG$123,F$137,FALSE)</f>
        <v>0</v>
      </c>
      <c r="G235" s="4">
        <f>VLOOKUP(Vlookup!$B200,'CDCM Volume Forecasts'!$A$27:$AG$123,G$137,FALSE)</f>
        <v>0</v>
      </c>
      <c r="H235" s="10"/>
      <c r="I235"/>
      <c r="J235"/>
      <c r="K235"/>
    </row>
    <row r="236" spans="1:11" ht="15">
      <c r="A236" s="17" t="s">
        <v>205</v>
      </c>
      <c r="B236" s="18">
        <f>VLOOKUP(Vlookup!$B201,'CDCM Volume Forecasts'!$A$27:$AG$123,B$137,FALSE)</f>
        <v>0</v>
      </c>
      <c r="C236" s="18">
        <f>VLOOKUP(Vlookup!$B201,'CDCM Volume Forecasts'!$A$27:$AG$123,C$137,FALSE)</f>
        <v>0</v>
      </c>
      <c r="D236" s="18">
        <f>VLOOKUP(Vlookup!$B201,'CDCM Volume Forecasts'!$A$27:$AG$123,D$137,FALSE)</f>
        <v>0</v>
      </c>
      <c r="E236" s="18">
        <f>VLOOKUP(Vlookup!$B201,'CDCM Volume Forecasts'!$A$27:$AG$123,E$137,FALSE)</f>
        <v>0</v>
      </c>
      <c r="F236" s="18">
        <f>VLOOKUP(Vlookup!$B201,'CDCM Volume Forecasts'!$A$27:$AG$123,F$137,FALSE)</f>
        <v>0</v>
      </c>
      <c r="G236" s="18">
        <f>VLOOKUP(Vlookup!$B201,'CDCM Volume Forecasts'!$A$27:$AG$123,G$137,FALSE)</f>
        <v>0</v>
      </c>
      <c r="H236" s="10"/>
      <c r="I236"/>
      <c r="J236"/>
      <c r="K236"/>
    </row>
    <row r="237" spans="1:11" ht="15">
      <c r="A237" s="11" t="s">
        <v>113</v>
      </c>
      <c r="B237" s="4">
        <f>VLOOKUP(Vlookup!$B202,'CDCM Volume Forecasts'!$A$27:$AG$123,B$137,FALSE)</f>
        <v>9070.7235647319703</v>
      </c>
      <c r="C237" s="4">
        <f>VLOOKUP(Vlookup!$B202,'CDCM Volume Forecasts'!$A$27:$AG$123,C$137,FALSE)</f>
        <v>44174.558442663067</v>
      </c>
      <c r="D237" s="4">
        <f>VLOOKUP(Vlookup!$B202,'CDCM Volume Forecasts'!$A$27:$AG$123,D$137,FALSE)</f>
        <v>48120.15616862481</v>
      </c>
      <c r="E237" s="14">
        <f>VLOOKUP(Vlookup!$B202,'CDCM Volume Forecasts'!$A$27:$AG$123,E$137,FALSE)</f>
        <v>27</v>
      </c>
      <c r="F237" s="8">
        <f>VLOOKUP(Vlookup!$B202,'CDCM Volume Forecasts'!$A$27:$AG$123,F$137,FALSE)</f>
        <v>0</v>
      </c>
      <c r="G237" s="4">
        <f>VLOOKUP(Vlookup!$B202,'CDCM Volume Forecasts'!$A$27:$AG$123,G$137,FALSE)</f>
        <v>742</v>
      </c>
      <c r="H237" s="10"/>
      <c r="I237"/>
      <c r="J237"/>
      <c r="K237"/>
    </row>
    <row r="238" spans="1:11" ht="15">
      <c r="A238" s="11" t="s">
        <v>206</v>
      </c>
      <c r="B238" s="4">
        <f>VLOOKUP(Vlookup!$B203,'CDCM Volume Forecasts'!$A$27:$AG$123,B$137,FALSE)</f>
        <v>0</v>
      </c>
      <c r="C238" s="4">
        <f>VLOOKUP(Vlookup!$B203,'CDCM Volume Forecasts'!$A$27:$AG$123,C$137,FALSE)</f>
        <v>0</v>
      </c>
      <c r="D238" s="4">
        <f>VLOOKUP(Vlookup!$B203,'CDCM Volume Forecasts'!$A$27:$AG$123,D$137,FALSE)</f>
        <v>0</v>
      </c>
      <c r="E238" s="14">
        <f>VLOOKUP(Vlookup!$B203,'CDCM Volume Forecasts'!$A$27:$AG$123,E$137,FALSE)</f>
        <v>0</v>
      </c>
      <c r="F238" s="8">
        <f>VLOOKUP(Vlookup!$B203,'CDCM Volume Forecasts'!$A$27:$AG$123,F$137,FALSE)</f>
        <v>0</v>
      </c>
      <c r="G238" s="4">
        <f>VLOOKUP(Vlookup!$B203,'CDCM Volume Forecasts'!$A$27:$AG$123,G$137,FALSE)</f>
        <v>0</v>
      </c>
      <c r="H238" s="10"/>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11" t="s">
        <v>209</v>
      </c>
      <c r="B244" s="14">
        <f>VLOOKUP(Vlookup!B209,'CDCM Forecast Data'!$A$14:$I$271,6,FALSE)</f>
        <v>10211181.208850358</v>
      </c>
      <c r="C244" s="10"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11" t="s">
        <v>215</v>
      </c>
      <c r="B249" s="14">
        <f>VLOOKUP(Vlookup!B214,'CDCM Forecast Data'!$A$14:$I$271,6,FALSE)</f>
        <v>18883420.205942698</v>
      </c>
      <c r="C249" s="14">
        <f>VLOOKUP(Vlookup!C214,'CDCM Forecast Data'!$A$14:$I$271,6,FALSE)</f>
        <v>61837756.511034578</v>
      </c>
      <c r="D249" s="16">
        <f>VLOOKUP(Vlookup!D214,'CDCM Forecast Data'!$A$14:$I$271,6,FALSE)</f>
        <v>0.6</v>
      </c>
      <c r="E249" s="14">
        <f>VLOOKUP(Vlookup!E214,'CDCM Forecast Data'!$A$14:$I$271,6,FALSE)</f>
        <v>16709877.122920515</v>
      </c>
      <c r="F249" s="10"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11" t="s">
        <v>228</v>
      </c>
      <c r="B257" s="16">
        <f>VLOOKUP(Vlookup!B222,'CDCM Forecast Data'!$A$14:$I$271,6,FALSE)</f>
        <v>0</v>
      </c>
      <c r="C257" s="16">
        <f>VLOOKUP(Vlookup!C222,'CDCM Forecast Data'!$A$14:$I$271,6,FALSE)</f>
        <v>0</v>
      </c>
      <c r="D257" s="16">
        <f>VLOOKUP(Vlookup!D222,'CDCM Forecast Data'!$A$14:$I$271,6,FALSE)</f>
        <v>0</v>
      </c>
      <c r="E257" s="16">
        <f>VLOOKUP(Vlookup!E222,'CDCM Forecast Data'!$A$14:$I$271,6,FALSE)</f>
        <v>0.75</v>
      </c>
      <c r="F257" s="16">
        <f>VLOOKUP(Vlookup!F222,'CDCM Forecast Data'!$A$14:$I$271,6,FALSE)</f>
        <v>0.75</v>
      </c>
      <c r="G257" s="16">
        <f>VLOOKUP(Vlookup!G222,'CDCM Forecast Data'!$A$14:$I$271,6,FALSE)</f>
        <v>0.75</v>
      </c>
      <c r="H257" s="16">
        <f>VLOOKUP(Vlookup!H222,'CDCM Forecast Data'!$A$14:$I$271,6,FALSE)</f>
        <v>0.95</v>
      </c>
      <c r="I257" s="16">
        <f>VLOOKUP(Vlookup!I222,'CDCM Forecast Data'!$A$14:$I$271,6,FALSE)</f>
        <v>0.95</v>
      </c>
      <c r="J257" s="10" t="s">
        <v>262</v>
      </c>
      <c r="K257"/>
    </row>
    <row r="258" spans="1:11" ht="15">
      <c r="A258" s="11" t="s">
        <v>229</v>
      </c>
      <c r="B258" s="16">
        <f>VLOOKUP(Vlookup!B223,'CDCM Forecast Data'!$A$14:$I$271,6,FALSE)</f>
        <v>0</v>
      </c>
      <c r="C258" s="16">
        <f>VLOOKUP(Vlookup!C223,'CDCM Forecast Data'!$A$14:$I$271,6,FALSE)</f>
        <v>0</v>
      </c>
      <c r="D258" s="16">
        <f>VLOOKUP(Vlookup!D223,'CDCM Forecast Data'!$A$14:$I$271,6,FALSE)</f>
        <v>0</v>
      </c>
      <c r="E258" s="16">
        <f>VLOOKUP(Vlookup!E223,'CDCM Forecast Data'!$A$14:$I$271,6,FALSE)</f>
        <v>0.75</v>
      </c>
      <c r="F258" s="16">
        <f>VLOOKUP(Vlookup!F223,'CDCM Forecast Data'!$A$14:$I$271,6,FALSE)</f>
        <v>0.75</v>
      </c>
      <c r="G258" s="16">
        <f>VLOOKUP(Vlookup!G223,'CDCM Forecast Data'!$A$14:$I$271,6,FALSE)</f>
        <v>0.75</v>
      </c>
      <c r="H258" s="16">
        <f>VLOOKUP(Vlookup!H223,'CDCM Forecast Data'!$A$14:$I$271,6,FALSE)</f>
        <v>0.95</v>
      </c>
      <c r="I258" s="8"/>
      <c r="J258" s="10" t="s">
        <v>262</v>
      </c>
      <c r="K258"/>
    </row>
    <row r="259" spans="1:11" ht="15">
      <c r="A259" s="11" t="s">
        <v>230</v>
      </c>
      <c r="B259" s="16">
        <f>VLOOKUP(Vlookup!B224,'CDCM Forecast Data'!$A$14:$I$271,6,FALSE)</f>
        <v>0</v>
      </c>
      <c r="C259" s="16">
        <f>VLOOKUP(Vlookup!C224,'CDCM Forecast Data'!$A$14:$I$271,6,FALSE)</f>
        <v>0.36</v>
      </c>
      <c r="D259" s="16">
        <f>VLOOKUP(Vlookup!D224,'CDCM Forecast Data'!$A$14:$I$271,6,FALSE)</f>
        <v>0.36</v>
      </c>
      <c r="E259" s="16">
        <f>VLOOKUP(Vlookup!E224,'CDCM Forecast Data'!$A$14:$I$271,6,FALSE)</f>
        <v>0.91</v>
      </c>
      <c r="F259" s="16">
        <f>VLOOKUP(Vlookup!F224,'CDCM Forecast Data'!$A$14:$I$271,6,FALSE)</f>
        <v>0.91</v>
      </c>
      <c r="G259" s="16">
        <f>VLOOKUP(Vlookup!G224,'CDCM Forecast Data'!$A$14:$I$271,6,FALSE)</f>
        <v>0.91</v>
      </c>
      <c r="H259" s="8"/>
      <c r="I259" s="8"/>
      <c r="J259" s="10" t="s">
        <v>262</v>
      </c>
      <c r="K259"/>
    </row>
    <row r="260" spans="1:11" ht="15">
      <c r="A260" s="11" t="s">
        <v>231</v>
      </c>
      <c r="B260" s="16">
        <f>VLOOKUP(Vlookup!B225,'CDCM Forecast Data'!$A$14:$I$271,6,FALSE)</f>
        <v>0</v>
      </c>
      <c r="C260" s="16">
        <f>VLOOKUP(Vlookup!C225,'CDCM Forecast Data'!$A$14:$I$271,6,FALSE)</f>
        <v>0.36</v>
      </c>
      <c r="D260" s="16">
        <f>VLOOKUP(Vlookup!D225,'CDCM Forecast Data'!$A$14:$I$271,6,FALSE)</f>
        <v>0.36</v>
      </c>
      <c r="E260" s="16">
        <f>VLOOKUP(Vlookup!E225,'CDCM Forecast Data'!$A$14:$I$271,6,FALSE)</f>
        <v>0.91</v>
      </c>
      <c r="F260" s="8"/>
      <c r="G260" s="8"/>
      <c r="H260" s="8"/>
      <c r="I260" s="8"/>
      <c r="J260" s="10"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11" t="s">
        <v>92</v>
      </c>
      <c r="B265" s="16">
        <f>VLOOKUP(Vlookup!B235,'CDCM Forecast Data'!$A$14:$I$271,5,FALSE)</f>
        <v>0.11298330820969384</v>
      </c>
      <c r="C265" s="16">
        <f>VLOOKUP(Vlookup!C235,'CDCM Forecast Data'!$A$14:$I$271,5,FALSE)</f>
        <v>0.50223801835264836</v>
      </c>
      <c r="D265" s="16">
        <f>VLOOKUP(Vlookup!D235,'CDCM Forecast Data'!$A$14:$I$271,5,FALSE)</f>
        <v>0.38477867343765787</v>
      </c>
      <c r="E265" s="10" t="s">
        <v>262</v>
      </c>
      <c r="F265"/>
      <c r="G265"/>
      <c r="H265"/>
      <c r="I265"/>
      <c r="J265"/>
      <c r="K265"/>
    </row>
    <row r="266" spans="1:11" ht="15">
      <c r="A266" s="11" t="s">
        <v>93</v>
      </c>
      <c r="B266" s="16">
        <f>VLOOKUP(Vlookup!B236,'CDCM Forecast Data'!$A$14:$I$271,5,FALSE)</f>
        <v>0.13327131053018113</v>
      </c>
      <c r="C266" s="16">
        <f>VLOOKUP(Vlookup!C236,'CDCM Forecast Data'!$A$14:$I$271,5,FALSE)</f>
        <v>0.57760793092211993</v>
      </c>
      <c r="D266" s="16">
        <f>VLOOKUP(Vlookup!D236,'CDCM Forecast Data'!$A$14:$I$271,5,FALSE)</f>
        <v>0.28912075854769903</v>
      </c>
      <c r="E266" s="10" t="s">
        <v>262</v>
      </c>
      <c r="F266"/>
      <c r="G266"/>
      <c r="H266"/>
      <c r="I266"/>
      <c r="J266"/>
      <c r="K266"/>
    </row>
    <row r="267" spans="1:11" ht="15">
      <c r="A267" s="11" t="s">
        <v>129</v>
      </c>
      <c r="B267" s="16">
        <f>VLOOKUP(Vlookup!B237,'CDCM Forecast Data'!$A$14:$I$271,5,FALSE)</f>
        <v>2.8375924531958633E-7</v>
      </c>
      <c r="C267" s="16">
        <f>VLOOKUP(Vlookup!C237,'CDCM Forecast Data'!$A$14:$I$271,5,FALSE)</f>
        <v>0.16926612955281603</v>
      </c>
      <c r="D267" s="16">
        <f>VLOOKUP(Vlookup!D237,'CDCM Forecast Data'!$A$14:$I$271,5,FALSE)</f>
        <v>0.83073358668793862</v>
      </c>
      <c r="E267" s="10"/>
      <c r="F267"/>
      <c r="G267"/>
      <c r="H267"/>
      <c r="I267"/>
      <c r="J267"/>
      <c r="K267"/>
    </row>
    <row r="268" spans="1:11" ht="15">
      <c r="A268" s="11" t="s">
        <v>94</v>
      </c>
      <c r="B268" s="16">
        <f>VLOOKUP(Vlookup!B238,'CDCM Forecast Data'!$A$14:$I$271,5,FALSE)</f>
        <v>7.1203946559325326E-2</v>
      </c>
      <c r="C268" s="16">
        <f>VLOOKUP(Vlookup!C238,'CDCM Forecast Data'!$A$14:$I$271,5,FALSE)</f>
        <v>0.58452126520102876</v>
      </c>
      <c r="D268" s="16">
        <f>VLOOKUP(Vlookup!D238,'CDCM Forecast Data'!$A$14:$I$271,5,FALSE)</f>
        <v>0.3442747882396458</v>
      </c>
      <c r="E268" s="10"/>
      <c r="F268"/>
      <c r="G268"/>
      <c r="H268"/>
      <c r="I268"/>
      <c r="J268"/>
      <c r="K268"/>
    </row>
    <row r="269" spans="1:11" ht="15">
      <c r="A269" s="11" t="s">
        <v>95</v>
      </c>
      <c r="B269" s="16">
        <f>VLOOKUP(Vlookup!B239,'CDCM Forecast Data'!$A$14:$I$271,5,FALSE)</f>
        <v>9.7838540209257197E-2</v>
      </c>
      <c r="C269" s="16">
        <f>VLOOKUP(Vlookup!C239,'CDCM Forecast Data'!$A$14:$I$271,5,FALSE)</f>
        <v>0.65520507591280774</v>
      </c>
      <c r="D269" s="16">
        <f>VLOOKUP(Vlookup!D239,'CDCM Forecast Data'!$A$14:$I$271,5,FALSE)</f>
        <v>0.24695638387793503</v>
      </c>
      <c r="E269" s="10" t="s">
        <v>262</v>
      </c>
      <c r="F269"/>
      <c r="G269"/>
      <c r="H269"/>
      <c r="I269"/>
      <c r="J269"/>
      <c r="K269"/>
    </row>
    <row r="270" spans="1:11" ht="15">
      <c r="A270" s="11" t="s">
        <v>130</v>
      </c>
      <c r="B270" s="16">
        <f>VLOOKUP(Vlookup!B240,'CDCM Forecast Data'!$A$14:$I$271,5,FALSE)</f>
        <v>8.9699691483682498E-5</v>
      </c>
      <c r="C270" s="16">
        <f>VLOOKUP(Vlookup!C240,'CDCM Forecast Data'!$A$14:$I$271,5,FALSE)</f>
        <v>0.17771579837582263</v>
      </c>
      <c r="D270" s="16">
        <f>VLOOKUP(Vlookup!D240,'CDCM Forecast Data'!$A$14:$I$271,5,FALSE)</f>
        <v>0.82219450193269361</v>
      </c>
      <c r="E270" s="10" t="s">
        <v>262</v>
      </c>
      <c r="F270"/>
      <c r="G270"/>
      <c r="H270"/>
      <c r="I270"/>
      <c r="J270"/>
      <c r="K270"/>
    </row>
    <row r="271" spans="1:11" ht="15">
      <c r="A271" s="11" t="s">
        <v>96</v>
      </c>
      <c r="B271" s="16">
        <f>VLOOKUP(Vlookup!B241,'CDCM Forecast Data'!$A$14:$I$271,5,FALSE)</f>
        <v>0.10118214285683957</v>
      </c>
      <c r="C271" s="16">
        <f>VLOOKUP(Vlookup!C241,'CDCM Forecast Data'!$A$14:$I$271,5,FALSE)</f>
        <v>0.66091965296388588</v>
      </c>
      <c r="D271" s="16">
        <f>VLOOKUP(Vlookup!D241,'CDCM Forecast Data'!$A$14:$I$271,5,FALSE)</f>
        <v>0.23789820417927454</v>
      </c>
      <c r="E271" s="10" t="s">
        <v>262</v>
      </c>
      <c r="F271"/>
      <c r="G271"/>
      <c r="H271"/>
      <c r="I271"/>
      <c r="J271"/>
      <c r="K271"/>
    </row>
    <row r="272" spans="1:11" ht="15">
      <c r="A272" s="11" t="s">
        <v>97</v>
      </c>
      <c r="B272" s="16">
        <f>VLOOKUP(Vlookup!B242,'CDCM Forecast Data'!$A$14:$I$271,5,FALSE)</f>
        <v>9.9173095445870232E-2</v>
      </c>
      <c r="C272" s="16">
        <f>VLOOKUP(Vlookup!C242,'CDCM Forecast Data'!$A$14:$I$271,5,FALSE)</f>
        <v>0.66646341204630843</v>
      </c>
      <c r="D272" s="16">
        <f>VLOOKUP(Vlookup!D242,'CDCM Forecast Data'!$A$14:$I$271,5,FALSE)</f>
        <v>0.23436349250782129</v>
      </c>
      <c r="E272" s="10" t="s">
        <v>262</v>
      </c>
      <c r="F272"/>
      <c r="G272"/>
      <c r="H272"/>
      <c r="I272"/>
      <c r="J272"/>
      <c r="K272"/>
    </row>
    <row r="273" spans="1:11" ht="15">
      <c r="A273" s="11" t="s">
        <v>110</v>
      </c>
      <c r="B273" s="16">
        <f>VLOOKUP(Vlookup!B243,'CDCM Forecast Data'!$A$14:$I$271,5,FALSE)</f>
        <v>9.9001646523263931E-2</v>
      </c>
      <c r="C273" s="16">
        <f>VLOOKUP(Vlookup!C243,'CDCM Forecast Data'!$A$14:$I$271,5,FALSE)</f>
        <v>0.69464097956994497</v>
      </c>
      <c r="D273" s="16">
        <f>VLOOKUP(Vlookup!D243,'CDCM Forecast Data'!$A$14:$I$271,5,FALSE)</f>
        <v>0.2063573739067911</v>
      </c>
      <c r="E273" s="10"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11" t="s">
        <v>93</v>
      </c>
      <c r="B278" s="16">
        <f>VLOOKUP(Vlookup!B251,'CDCM Forecast Data'!$A$14:$I$271,6,FALSE)</f>
        <v>0</v>
      </c>
      <c r="C278" s="16">
        <f>VLOOKUP(Vlookup!C251,'CDCM Forecast Data'!$A$14:$I$271,6,FALSE)</f>
        <v>3.4830602664601619E-2</v>
      </c>
      <c r="D278" s="16">
        <f>VLOOKUP(Vlookup!D251,'CDCM Forecast Data'!$A$14:$I$271,6,FALSE)</f>
        <v>0.96516939733539842</v>
      </c>
      <c r="E278" s="10" t="s">
        <v>262</v>
      </c>
      <c r="F278"/>
      <c r="G278"/>
      <c r="H278"/>
      <c r="I278"/>
      <c r="J278"/>
      <c r="K278"/>
    </row>
    <row r="279" spans="1:11" ht="15">
      <c r="A279" s="11" t="s">
        <v>95</v>
      </c>
      <c r="B279" s="16">
        <f>VLOOKUP(Vlookup!B252,'CDCM Forecast Data'!$A$14:$I$271,6,FALSE)</f>
        <v>1.6556870442601376E-8</v>
      </c>
      <c r="C279" s="16">
        <f>VLOOKUP(Vlookup!C252,'CDCM Forecast Data'!$A$14:$I$271,6,FALSE)</f>
        <v>5.869529563813064E-2</v>
      </c>
      <c r="D279" s="16">
        <f>VLOOKUP(Vlookup!D252,'CDCM Forecast Data'!$A$14:$I$271,6,FALSE)</f>
        <v>0.94130468780499887</v>
      </c>
      <c r="E279" s="10" t="s">
        <v>262</v>
      </c>
      <c r="F279"/>
      <c r="G279"/>
      <c r="H279"/>
      <c r="I279"/>
      <c r="J279"/>
      <c r="K279"/>
    </row>
    <row r="280" spans="1:11" ht="15">
      <c r="A280" s="11" t="s">
        <v>96</v>
      </c>
      <c r="B280" s="16">
        <f>VLOOKUP(Vlookup!B253,'CDCM Forecast Data'!$A$14:$I$271,6,FALSE)</f>
        <v>0</v>
      </c>
      <c r="C280" s="16">
        <f>VLOOKUP(Vlookup!C253,'CDCM Forecast Data'!$A$14:$I$271,6,FALSE)</f>
        <v>5.1301871668323713E-3</v>
      </c>
      <c r="D280" s="16">
        <f>VLOOKUP(Vlookup!D253,'CDCM Forecast Data'!$A$14:$I$271,6,FALSE)</f>
        <v>0.99486981283316778</v>
      </c>
      <c r="E280" s="10" t="s">
        <v>262</v>
      </c>
      <c r="F280"/>
      <c r="G280"/>
      <c r="H280"/>
      <c r="I280"/>
      <c r="J280"/>
      <c r="K280"/>
    </row>
    <row r="281" spans="1:11" ht="15">
      <c r="A281" s="11" t="s">
        <v>97</v>
      </c>
      <c r="B281" s="16">
        <f>VLOOKUP(Vlookup!B254,'CDCM Forecast Data'!$A$14:$I$271,6,FALSE)</f>
        <v>0</v>
      </c>
      <c r="C281" s="16">
        <f>VLOOKUP(Vlookup!C254,'CDCM Forecast Data'!$A$14:$I$271,6,FALSE)</f>
        <v>3.213521583597959E-3</v>
      </c>
      <c r="D281" s="16">
        <f>VLOOKUP(Vlookup!D254,'CDCM Forecast Data'!$A$14:$I$271,6,FALSE)</f>
        <v>0.99678647841640211</v>
      </c>
      <c r="E281" s="10" t="s">
        <v>262</v>
      </c>
      <c r="F281"/>
      <c r="G281"/>
      <c r="H281"/>
      <c r="I281"/>
      <c r="J281"/>
      <c r="K281"/>
    </row>
    <row r="282" spans="1:11" ht="15">
      <c r="A282" s="11" t="s">
        <v>110</v>
      </c>
      <c r="B282" s="16">
        <f>VLOOKUP(Vlookup!B255,'CDCM Forecast Data'!$A$14:$I$271,6,FALSE)</f>
        <v>0</v>
      </c>
      <c r="C282" s="16">
        <f>VLOOKUP(Vlookup!C255,'CDCM Forecast Data'!$A$14:$I$271,6,FALSE)</f>
        <v>4.2256521599561099E-3</v>
      </c>
      <c r="D282" s="16">
        <f>VLOOKUP(Vlookup!D255,'CDCM Forecast Data'!$A$14:$I$271,6,FALSE)</f>
        <v>0.99577434784004382</v>
      </c>
      <c r="E282" s="10"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11" t="s">
        <v>131</v>
      </c>
      <c r="B287" s="16">
        <f>VLOOKUP(Vlookup!B260,'CDCM Forecast Data'!$A$14:$I$271,6,FALSE)</f>
        <v>2.2070015220700151E-2</v>
      </c>
      <c r="C287" s="16">
        <f>VLOOKUP(Vlookup!C260,'CDCM Forecast Data'!$A$14:$I$271,6,FALSE)</f>
        <v>0.48085996955859972</v>
      </c>
      <c r="D287" s="16">
        <f>VLOOKUP(Vlookup!D260,'CDCM Forecast Data'!$A$14:$I$271,6,FALSE)</f>
        <v>0.49707001522070016</v>
      </c>
      <c r="E287" s="10" t="s">
        <v>262</v>
      </c>
      <c r="F287"/>
      <c r="G287"/>
      <c r="H287"/>
      <c r="I287"/>
      <c r="J287"/>
      <c r="K287"/>
    </row>
    <row r="288" spans="1:11" ht="15">
      <c r="A288" s="11" t="s">
        <v>132</v>
      </c>
      <c r="B288" s="16">
        <f>VLOOKUP(Vlookup!B261,'CDCM Forecast Data'!$A$14:$I$271,6,FALSE)</f>
        <v>4.3296502490334364E-2</v>
      </c>
      <c r="C288" s="16">
        <f>VLOOKUP(Vlookup!C261,'CDCM Forecast Data'!$A$14:$I$271,6,FALSE)</f>
        <v>0.19352712515009221</v>
      </c>
      <c r="D288" s="16">
        <f>VLOOKUP(Vlookup!D261,'CDCM Forecast Data'!$A$14:$I$271,6,FALSE)</f>
        <v>0.76317637235957336</v>
      </c>
      <c r="E288" s="10" t="s">
        <v>262</v>
      </c>
      <c r="F288"/>
      <c r="G288"/>
      <c r="H288"/>
      <c r="I288"/>
      <c r="J288"/>
      <c r="K288"/>
    </row>
    <row r="289" spans="1:11" ht="15">
      <c r="A289" s="11" t="s">
        <v>133</v>
      </c>
      <c r="B289" s="16">
        <f>VLOOKUP(Vlookup!B262,'CDCM Forecast Data'!$A$14:$I$271,6,FALSE)</f>
        <v>7.5341202673786759E-2</v>
      </c>
      <c r="C289" s="16">
        <f>VLOOKUP(Vlookup!C262,'CDCM Forecast Data'!$A$14:$I$271,6,FALSE)</f>
        <v>0.32694556247045986</v>
      </c>
      <c r="D289" s="16">
        <f>VLOOKUP(Vlookup!D262,'CDCM Forecast Data'!$A$14:$I$271,6,FALSE)</f>
        <v>0.59771323485575345</v>
      </c>
      <c r="E289" s="10" t="s">
        <v>262</v>
      </c>
      <c r="F289"/>
      <c r="G289"/>
      <c r="H289"/>
      <c r="I289"/>
      <c r="J289"/>
      <c r="K289"/>
    </row>
    <row r="290" spans="1:11" ht="15">
      <c r="A290" s="11" t="s">
        <v>134</v>
      </c>
      <c r="B290" s="16">
        <f>VLOOKUP(Vlookup!B263,'CDCM Forecast Data'!$A$14:$I$271,6,FALSE)</f>
        <v>3.3590963197314191E-3</v>
      </c>
      <c r="C290" s="16">
        <f>VLOOKUP(Vlookup!C263,'CDCM Forecast Data'!$A$14:$I$271,6,FALSE)</f>
        <v>0.7385027664723034</v>
      </c>
      <c r="D290" s="16">
        <f>VLOOKUP(Vlookup!D263,'CDCM Forecast Data'!$A$14:$I$271,6,FALSE)</f>
        <v>0.25813813720796519</v>
      </c>
      <c r="E290" s="10"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11" t="s">
        <v>243</v>
      </c>
      <c r="B297" s="19">
        <f>VLOOKUP(Vlookup!B270,'CDCM Forecast Data'!$A$14:$I$271,6,FALSE)</f>
        <v>190</v>
      </c>
      <c r="C297" s="19">
        <f>VLOOKUP(Vlookup!C270,'CDCM Forecast Data'!$A$14:$I$271,6,FALSE)</f>
        <v>4233</v>
      </c>
      <c r="D297" s="19">
        <f>VLOOKUP(Vlookup!D270,'CDCM Forecast Data'!$A$14:$I$271,6,FALSE)</f>
        <v>4361</v>
      </c>
      <c r="E297" s="10"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11" t="s">
        <v>243</v>
      </c>
      <c r="B304" s="19">
        <f>VLOOKUP(Vlookup!B277,'CDCM Forecast Data'!$A$14:$I$271,6,FALSE)</f>
        <v>655</v>
      </c>
      <c r="C304" s="19">
        <f>VLOOKUP(Vlookup!C277,'CDCM Forecast Data'!$A$14:$I$271,6,FALSE)</f>
        <v>3768</v>
      </c>
      <c r="D304" s="19">
        <f>VLOOKUP(Vlookup!D277,'CDCM Forecast Data'!$A$14:$I$271,6,FALSE)</f>
        <v>4361</v>
      </c>
      <c r="E304" s="10"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20"/>
      <c r="C309" s="20"/>
      <c r="D309" s="20"/>
      <c r="E309"/>
      <c r="F309"/>
      <c r="G309"/>
      <c r="H309"/>
      <c r="I309"/>
      <c r="J309"/>
      <c r="K309"/>
    </row>
    <row r="310" spans="1:11" ht="15">
      <c r="A310"/>
      <c r="B310" s="3" t="s">
        <v>233</v>
      </c>
      <c r="C310" s="3" t="s">
        <v>234</v>
      </c>
      <c r="D310" s="3" t="s">
        <v>235</v>
      </c>
      <c r="E310" s="3" t="s">
        <v>238</v>
      </c>
      <c r="F310"/>
      <c r="G310"/>
      <c r="H310"/>
      <c r="I310"/>
      <c r="J310"/>
      <c r="K310"/>
    </row>
    <row r="311" spans="1:11" ht="15">
      <c r="A311" s="11" t="s">
        <v>60</v>
      </c>
      <c r="B311" s="16">
        <f>VLOOKUP(Vlookup!B283,'CDCM Forecast Data'!$A$14:$I$271,6,FALSE)</f>
        <v>0.62879119434947672</v>
      </c>
      <c r="C311" s="16">
        <f>VLOOKUP(Vlookup!C283,'CDCM Forecast Data'!$A$14:$I$271,6,FALSE)</f>
        <v>0.36482447333707807</v>
      </c>
      <c r="D311" s="16">
        <f>VLOOKUP(Vlookup!D283,'CDCM Forecast Data'!$A$14:$I$271,6,FALSE)</f>
        <v>6.3843323134452623E-3</v>
      </c>
      <c r="E311" s="16">
        <f>VLOOKUP(Vlookup!E283,'CDCM Forecast Data'!$A$14:$I$271,6,FALSE)</f>
        <v>0.39570245808243315</v>
      </c>
      <c r="F311" s="10" t="s">
        <v>262</v>
      </c>
      <c r="G311"/>
      <c r="H311"/>
      <c r="I311"/>
      <c r="J311"/>
      <c r="K311"/>
    </row>
    <row r="312" spans="1:11" ht="15">
      <c r="A312" s="11" t="s">
        <v>61</v>
      </c>
      <c r="B312" s="16">
        <f>VLOOKUP(Vlookup!B284,'CDCM Forecast Data'!$A$14:$I$271,6,FALSE)</f>
        <v>0.62174924523091402</v>
      </c>
      <c r="C312" s="16">
        <f>VLOOKUP(Vlookup!C284,'CDCM Forecast Data'!$A$14:$I$271,6,FALSE)</f>
        <v>0.3027754828809584</v>
      </c>
      <c r="D312" s="16">
        <f>VLOOKUP(Vlookup!D284,'CDCM Forecast Data'!$A$14:$I$271,6,FALSE)</f>
        <v>7.547527188812754E-2</v>
      </c>
      <c r="E312" s="16">
        <f>VLOOKUP(Vlookup!E284,'CDCM Forecast Data'!$A$14:$I$271,6,FALSE)</f>
        <v>0.56604499762027283</v>
      </c>
      <c r="F312" s="10" t="s">
        <v>262</v>
      </c>
      <c r="G312"/>
      <c r="H312"/>
      <c r="I312"/>
      <c r="J312"/>
      <c r="K312"/>
    </row>
    <row r="313" spans="1:11" ht="15">
      <c r="A313" s="11" t="s">
        <v>62</v>
      </c>
      <c r="B313" s="16">
        <f>VLOOKUP(Vlookup!B285,'CDCM Forecast Data'!$A$14:$I$271,6,FALSE)</f>
        <v>0.62174924523091402</v>
      </c>
      <c r="C313" s="16">
        <f>VLOOKUP(Vlookup!C285,'CDCM Forecast Data'!$A$14:$I$271,6,FALSE)</f>
        <v>0.3027754828809584</v>
      </c>
      <c r="D313" s="16">
        <f>VLOOKUP(Vlookup!D285,'CDCM Forecast Data'!$A$14:$I$271,6,FALSE)</f>
        <v>7.547527188812754E-2</v>
      </c>
      <c r="E313" s="16">
        <f>VLOOKUP(Vlookup!E285,'CDCM Forecast Data'!$A$14:$I$271,6,FALSE)</f>
        <v>0.56604499762027283</v>
      </c>
      <c r="F313" s="10" t="s">
        <v>262</v>
      </c>
      <c r="G313"/>
      <c r="H313"/>
      <c r="I313"/>
      <c r="J313"/>
      <c r="K313"/>
    </row>
    <row r="314" spans="1:11" ht="15">
      <c r="A314" s="11" t="s">
        <v>63</v>
      </c>
      <c r="B314" s="16">
        <f>VLOOKUP(Vlookup!B286,'CDCM Forecast Data'!$A$14:$I$271,6,FALSE)</f>
        <v>0.57235676252107026</v>
      </c>
      <c r="C314" s="16">
        <f>VLOOKUP(Vlookup!C286,'CDCM Forecast Data'!$A$14:$I$271,6,FALSE)</f>
        <v>0.37197918727209278</v>
      </c>
      <c r="D314" s="16">
        <f>VLOOKUP(Vlookup!D286,'CDCM Forecast Data'!$A$14:$I$271,6,FALSE)</f>
        <v>5.5664050206836936E-2</v>
      </c>
      <c r="E314" s="16">
        <f>VLOOKUP(Vlookup!E286,'CDCM Forecast Data'!$A$14:$I$271,6,FALSE)</f>
        <v>0.52685467635274164</v>
      </c>
      <c r="F314" s="10" t="s">
        <v>262</v>
      </c>
      <c r="G314"/>
      <c r="H314"/>
      <c r="I314"/>
      <c r="J314"/>
      <c r="K314"/>
    </row>
    <row r="315" spans="1:11" ht="15">
      <c r="A315" s="11" t="s">
        <v>64</v>
      </c>
      <c r="B315" s="16">
        <f>VLOOKUP(Vlookup!B287,'CDCM Forecast Data'!$A$14:$I$271,6,FALSE)</f>
        <v>0.57235676252107026</v>
      </c>
      <c r="C315" s="16">
        <f>VLOOKUP(Vlookup!C287,'CDCM Forecast Data'!$A$14:$I$271,6,FALSE)</f>
        <v>0.37197918727209278</v>
      </c>
      <c r="D315" s="16">
        <f>VLOOKUP(Vlookup!D287,'CDCM Forecast Data'!$A$14:$I$271,6,FALSE)</f>
        <v>5.5664050206836936E-2</v>
      </c>
      <c r="E315" s="16">
        <f>VLOOKUP(Vlookup!E287,'CDCM Forecast Data'!$A$14:$I$271,6,FALSE)</f>
        <v>0.52685467635274164</v>
      </c>
      <c r="F315" s="10" t="s">
        <v>262</v>
      </c>
      <c r="G315"/>
      <c r="H315"/>
      <c r="I315"/>
      <c r="J315"/>
      <c r="K315"/>
    </row>
    <row r="316" spans="1:11" ht="15">
      <c r="A316" s="11" t="s">
        <v>69</v>
      </c>
      <c r="B316" s="16">
        <f>VLOOKUP(Vlookup!B288,'CDCM Forecast Data'!$A$14:$I$271,6,FALSE)</f>
        <v>0.62174924523091402</v>
      </c>
      <c r="C316" s="16">
        <f>VLOOKUP(Vlookup!C288,'CDCM Forecast Data'!$A$14:$I$271,6,FALSE)</f>
        <v>0.3027754828809584</v>
      </c>
      <c r="D316" s="16">
        <f>VLOOKUP(Vlookup!D288,'CDCM Forecast Data'!$A$14:$I$271,6,FALSE)</f>
        <v>7.547527188812754E-2</v>
      </c>
      <c r="E316" s="16">
        <f>VLOOKUP(Vlookup!E288,'CDCM Forecast Data'!$A$14:$I$271,6,FALSE)</f>
        <v>0.56604499762027283</v>
      </c>
      <c r="F316" s="10" t="s">
        <v>262</v>
      </c>
      <c r="G316"/>
      <c r="H316"/>
      <c r="I316"/>
      <c r="J316"/>
      <c r="K316"/>
    </row>
    <row r="317" spans="1:11" ht="15">
      <c r="A317" s="11" t="s">
        <v>65</v>
      </c>
      <c r="B317" s="16">
        <f>VLOOKUP(Vlookup!B289,'CDCM Forecast Data'!$A$14:$I$271,6,FALSE)</f>
        <v>0.57235676252107026</v>
      </c>
      <c r="C317" s="16">
        <f>VLOOKUP(Vlookup!C289,'CDCM Forecast Data'!$A$14:$I$271,6,FALSE)</f>
        <v>0.37197918727209278</v>
      </c>
      <c r="D317" s="16">
        <f>VLOOKUP(Vlookup!D289,'CDCM Forecast Data'!$A$14:$I$271,6,FALSE)</f>
        <v>5.5664050206836936E-2</v>
      </c>
      <c r="E317" s="16">
        <f>VLOOKUP(Vlookup!E289,'CDCM Forecast Data'!$A$14:$I$271,6,FALSE)</f>
        <v>0.52685467635274164</v>
      </c>
      <c r="F317" s="10" t="s">
        <v>262</v>
      </c>
      <c r="G317"/>
      <c r="H317"/>
      <c r="I317"/>
      <c r="J317"/>
      <c r="K317"/>
    </row>
    <row r="318" spans="1:11" ht="15">
      <c r="A318" s="11" t="s">
        <v>66</v>
      </c>
      <c r="B318" s="16">
        <f>VLOOKUP(Vlookup!B290,'CDCM Forecast Data'!$A$14:$I$271,6,FALSE)</f>
        <v>0.57235676252107026</v>
      </c>
      <c r="C318" s="16">
        <f>VLOOKUP(Vlookup!C290,'CDCM Forecast Data'!$A$14:$I$271,6,FALSE)</f>
        <v>0.37197918727209278</v>
      </c>
      <c r="D318" s="16">
        <f>VLOOKUP(Vlookup!D290,'CDCM Forecast Data'!$A$14:$I$271,6,FALSE)</f>
        <v>5.5664050206836936E-2</v>
      </c>
      <c r="E318" s="16">
        <f>VLOOKUP(Vlookup!E290,'CDCM Forecast Data'!$A$14:$I$271,6,FALSE)</f>
        <v>0.52685467635274164</v>
      </c>
      <c r="F318" s="10" t="s">
        <v>262</v>
      </c>
      <c r="G318"/>
      <c r="H318"/>
      <c r="I318"/>
      <c r="J318"/>
      <c r="K318"/>
    </row>
    <row r="319" spans="1:11" ht="15">
      <c r="A319" s="11" t="s">
        <v>67</v>
      </c>
      <c r="B319" s="16">
        <f>VLOOKUP(Vlookup!B291,'CDCM Forecast Data'!$A$14:$I$271,6,FALSE)</f>
        <v>0.57235676252107026</v>
      </c>
      <c r="C319" s="16">
        <f>VLOOKUP(Vlookup!C291,'CDCM Forecast Data'!$A$14:$I$271,6,FALSE)</f>
        <v>0.37197918727209278</v>
      </c>
      <c r="D319" s="16">
        <f>VLOOKUP(Vlookup!D291,'CDCM Forecast Data'!$A$14:$I$271,6,FALSE)</f>
        <v>5.5664050206836936E-2</v>
      </c>
      <c r="E319" s="16">
        <f>VLOOKUP(Vlookup!E291,'CDCM Forecast Data'!$A$14:$I$271,6,FALSE)</f>
        <v>0.52685467635274164</v>
      </c>
      <c r="F319" s="10" t="s">
        <v>262</v>
      </c>
      <c r="G319"/>
      <c r="H319"/>
      <c r="I319"/>
      <c r="J319"/>
      <c r="K319"/>
    </row>
    <row r="320" spans="1:11" ht="15">
      <c r="A320"/>
      <c r="B320"/>
      <c r="C320"/>
      <c r="D320"/>
      <c r="E320"/>
      <c r="F320"/>
      <c r="G320"/>
      <c r="H320"/>
      <c r="I320"/>
      <c r="J320"/>
      <c r="K320"/>
    </row>
    <row r="321" spans="1:11" ht="19.5">
      <c r="A321" s="1" t="s">
        <v>1634</v>
      </c>
      <c r="B321"/>
      <c r="C321"/>
      <c r="D321"/>
      <c r="E321"/>
      <c r="F321"/>
      <c r="G321"/>
      <c r="H321"/>
      <c r="I321"/>
      <c r="J321"/>
      <c r="K321"/>
    </row>
    <row r="322" spans="1:11" ht="15">
      <c r="A322" s="2" t="s">
        <v>1633</v>
      </c>
      <c r="B322"/>
      <c r="C322"/>
      <c r="D322"/>
      <c r="E322"/>
      <c r="F322"/>
      <c r="G322"/>
      <c r="H322"/>
      <c r="I322"/>
      <c r="J322"/>
      <c r="K322"/>
    </row>
    <row r="323" spans="1:11" ht="15">
      <c r="A323"/>
      <c r="B323"/>
      <c r="C323"/>
      <c r="D323"/>
      <c r="E323"/>
      <c r="F323"/>
      <c r="G323"/>
      <c r="H323"/>
      <c r="I323"/>
      <c r="J323"/>
      <c r="K323"/>
    </row>
    <row r="324" spans="1:11" ht="30">
      <c r="A324"/>
      <c r="B324" s="3" t="s">
        <v>1632</v>
      </c>
      <c r="C324"/>
      <c r="D324"/>
      <c r="E324"/>
      <c r="F324"/>
      <c r="G324"/>
      <c r="H324"/>
      <c r="I324"/>
      <c r="J324"/>
      <c r="K324"/>
    </row>
    <row r="325" spans="1:11" ht="15">
      <c r="A325" s="11" t="s">
        <v>1632</v>
      </c>
      <c r="B325" s="14">
        <f>1000000*'Table 1'!G47</f>
        <v>221193362.91403854</v>
      </c>
      <c r="C325" s="10"/>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11" t="s">
        <v>251</v>
      </c>
      <c r="B332" s="4">
        <f>VLOOKUP(Vlookup!B298,'CDCM Forecast Data'!$A$14:$I$271,6,FALSE)</f>
        <v>0.27489787150128192</v>
      </c>
      <c r="C332" s="4">
        <f>VLOOKUP(Vlookup!C298,'CDCM Forecast Data'!$A$14:$I$271,6,FALSE)</f>
        <v>0.27489787150128192</v>
      </c>
      <c r="D332" s="4">
        <f>VLOOKUP(Vlookup!D298,'CDCM Forecast Data'!$A$14:$I$271,6,FALSE)</f>
        <v>0.27489787150128192</v>
      </c>
      <c r="E332" s="4">
        <f>VLOOKUP(Vlookup!E298,'CDCM Forecast Data'!$A$14:$I$271,6,FALSE)</f>
        <v>0.27489787150128192</v>
      </c>
      <c r="F332" s="4">
        <f>VLOOKUP(Vlookup!F298,'CDCM Forecast Data'!$A$14:$I$271,6,FALSE)</f>
        <v>0.27489787150128192</v>
      </c>
      <c r="G332" s="4">
        <f>VLOOKUP(Vlookup!G298,'CDCM Forecast Data'!$A$14:$I$271,6,FALSE)</f>
        <v>0.27489787150128192</v>
      </c>
      <c r="H332" s="4">
        <f>VLOOKUP(Vlookup!H298,'CDCM Forecast Data'!$A$14:$I$271,6,FALSE)</f>
        <v>0.27489787150128192</v>
      </c>
      <c r="I332" s="4">
        <f>VLOOKUP(Vlookup!I298,'CDCM Forecast Data'!$A$14:$I$271,6,FALSE)</f>
        <v>0.27489787150128192</v>
      </c>
      <c r="J332" s="4">
        <f>VLOOKUP(Vlookup!J298,'CDCM Forecast Data'!$A$14:$I$271,6,FALSE)</f>
        <v>0.27489787150128192</v>
      </c>
      <c r="K332" s="10"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dimension ref="A1:K332"/>
  <sheetViews>
    <sheetView showGridLines="0" workbookViewId="0">
      <selection activeCell="A4" sqref="A4:K332"/>
    </sheetView>
  </sheetViews>
  <sheetFormatPr defaultColWidth="8.85546875" defaultRowHeight="12.75"/>
  <cols>
    <col min="1" max="1" width="50.7109375" style="43" customWidth="1"/>
    <col min="2" max="251" width="20.7109375" style="43" customWidth="1"/>
    <col min="252" max="16384" width="8.85546875" style="43"/>
  </cols>
  <sheetData>
    <row r="1" spans="1:11" ht="19.5">
      <c r="A1" s="1" t="s">
        <v>1556</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11" t="s">
        <v>4</v>
      </c>
      <c r="B7" s="13">
        <f>VLOOKUP(Vlookup!B7,'CDCM Forecast Data'!$A$14:$I$271,7,FALSE)</f>
        <v>0</v>
      </c>
      <c r="C7" s="13">
        <f>VLOOKUP(Vlookup!C7,'CDCM Forecast Data'!$A$14:$I$271,7,FALSE)</f>
        <v>0</v>
      </c>
      <c r="D7" s="13">
        <f>VLOOKUP(Vlookup!D7,'CDCM Forecast Data'!$A$14:$I$271,7,FALSE)</f>
        <v>0</v>
      </c>
      <c r="E7" s="10"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1471</v>
      </c>
      <c r="G13"/>
      <c r="H13"/>
      <c r="I13"/>
      <c r="J13"/>
      <c r="K13"/>
    </row>
    <row r="14" spans="1:11" ht="15">
      <c r="A14" s="11" t="s">
        <v>52</v>
      </c>
      <c r="B14" s="16">
        <f>VLOOKUP(Vlookup!B14,'CDCM Forecast Data'!$A$14:$I$271,7,FALSE)</f>
        <v>5.6000000000000001E-2</v>
      </c>
      <c r="C14" s="14">
        <f>VLOOKUP(Vlookup!C14,'CDCM Forecast Data'!$A$14:$I$271,7,FALSE)</f>
        <v>40</v>
      </c>
      <c r="D14" s="5"/>
      <c r="E14" s="4">
        <f>VLOOKUP(Vlookup!E14,'CDCM Forecast Data'!$A$14:$I$271,7,FALSE)</f>
        <v>0.95</v>
      </c>
      <c r="F14" s="14">
        <f>VLOOKUP(Vlookup!F14,'CDCM Forecast Data'!$A$14:$I$271,7,FALSE)</f>
        <v>365</v>
      </c>
      <c r="G14" s="10"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11" t="s">
        <v>60</v>
      </c>
      <c r="B24" s="16">
        <f>VLOOKUP(Vlookup!B24,'CDCM Forecast Data'!$A$14:$I$271,7,FALSE)</f>
        <v>6.3829787234042507E-2</v>
      </c>
      <c r="C24" s="10" t="s">
        <v>262</v>
      </c>
      <c r="D24"/>
      <c r="E24"/>
      <c r="F24"/>
      <c r="G24"/>
      <c r="H24"/>
      <c r="I24"/>
      <c r="J24"/>
      <c r="K24"/>
    </row>
    <row r="25" spans="1:11" ht="15">
      <c r="A25" s="11" t="s">
        <v>61</v>
      </c>
      <c r="B25" s="16">
        <f>VLOOKUP(Vlookup!B25,'CDCM Forecast Data'!$A$14:$I$271,7,FALSE)</f>
        <v>5.2999999999999999E-2</v>
      </c>
      <c r="C25" s="10" t="s">
        <v>262</v>
      </c>
      <c r="D25"/>
      <c r="E25"/>
      <c r="F25"/>
      <c r="G25"/>
      <c r="H25"/>
      <c r="I25"/>
      <c r="J25"/>
      <c r="K25"/>
    </row>
    <row r="26" spans="1:11" ht="15">
      <c r="A26" s="11" t="s">
        <v>62</v>
      </c>
      <c r="B26" s="8"/>
      <c r="C26" s="10" t="s">
        <v>262</v>
      </c>
      <c r="D26"/>
      <c r="E26"/>
      <c r="F26"/>
      <c r="G26"/>
      <c r="H26"/>
      <c r="I26"/>
      <c r="J26"/>
      <c r="K26"/>
    </row>
    <row r="27" spans="1:11" ht="15">
      <c r="A27" s="11" t="s">
        <v>63</v>
      </c>
      <c r="B27" s="16">
        <f>VLOOKUP(Vlookup!B27,'CDCM Forecast Data'!$A$14:$I$271,7,FALSE)</f>
        <v>9.9000000000000005E-2</v>
      </c>
      <c r="C27" s="10" t="s">
        <v>262</v>
      </c>
      <c r="D27"/>
      <c r="E27"/>
      <c r="F27"/>
      <c r="G27"/>
      <c r="H27"/>
      <c r="I27"/>
      <c r="J27"/>
      <c r="K27"/>
    </row>
    <row r="28" spans="1:11" ht="15">
      <c r="A28" s="11" t="s">
        <v>64</v>
      </c>
      <c r="B28" s="8"/>
      <c r="C28" s="10" t="s">
        <v>262</v>
      </c>
      <c r="D28"/>
      <c r="E28"/>
      <c r="F28"/>
      <c r="G28"/>
      <c r="H28"/>
      <c r="I28"/>
      <c r="J28"/>
      <c r="K28"/>
    </row>
    <row r="29" spans="1:11" ht="15">
      <c r="A29" s="11" t="s">
        <v>65</v>
      </c>
      <c r="B29" s="16">
        <f>VLOOKUP(Vlookup!B29,'CDCM Forecast Data'!$A$14:$I$271,7,FALSE)</f>
        <v>0.37</v>
      </c>
      <c r="C29" s="10" t="s">
        <v>262</v>
      </c>
      <c r="D29"/>
      <c r="E29"/>
      <c r="F29"/>
      <c r="G29"/>
      <c r="H29"/>
      <c r="I29"/>
      <c r="J29"/>
      <c r="K29"/>
    </row>
    <row r="30" spans="1:11" ht="15">
      <c r="A30" s="11" t="s">
        <v>66</v>
      </c>
      <c r="B30" s="8"/>
      <c r="C30" s="10" t="s">
        <v>262</v>
      </c>
      <c r="D30"/>
      <c r="E30"/>
      <c r="F30"/>
      <c r="G30"/>
      <c r="H30"/>
      <c r="I30"/>
      <c r="J30"/>
      <c r="K30"/>
    </row>
    <row r="31" spans="1:11" ht="15">
      <c r="A31" s="11" t="s">
        <v>67</v>
      </c>
      <c r="B31" s="8"/>
      <c r="C31" s="10"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11" t="s">
        <v>64</v>
      </c>
      <c r="B36" s="16">
        <f>VLOOKUP(Vlookup!B36,'CDCM Forecast Data'!$A$14:$I$271,7,FALSE)</f>
        <v>0.3</v>
      </c>
      <c r="C36" s="10"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11" t="s">
        <v>71</v>
      </c>
      <c r="B41" s="14">
        <f>VLOOKUP(Vlookup!B41,'CDCM Forecast Data'!$A$14:$I$271,7,FALSE)</f>
        <v>500</v>
      </c>
      <c r="C41" s="10"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11" t="s">
        <v>61</v>
      </c>
      <c r="B46" s="14">
        <f>VLOOKUP(Vlookup!B46,'CDCM Forecast Data'!$A$14:$I$271,7,FALSE)</f>
        <v>133950669.31845339</v>
      </c>
      <c r="C46" s="10" t="s">
        <v>262</v>
      </c>
      <c r="D46"/>
      <c r="E46"/>
      <c r="F46"/>
      <c r="G46"/>
      <c r="H46"/>
      <c r="I46"/>
      <c r="J46"/>
      <c r="K46"/>
    </row>
    <row r="47" spans="1:11" ht="15">
      <c r="A47" s="11" t="s">
        <v>62</v>
      </c>
      <c r="B47" s="14">
        <f>VLOOKUP(Vlookup!B47,'CDCM Forecast Data'!$A$14:$I$271,7,FALSE)</f>
        <v>11831281.549112981</v>
      </c>
      <c r="C47" s="10" t="s">
        <v>262</v>
      </c>
      <c r="D47"/>
      <c r="E47"/>
      <c r="F47"/>
      <c r="G47"/>
      <c r="H47"/>
      <c r="I47"/>
      <c r="J47"/>
      <c r="K47"/>
    </row>
    <row r="48" spans="1:11" ht="15">
      <c r="A48" s="11" t="s">
        <v>63</v>
      </c>
      <c r="B48" s="14">
        <f>VLOOKUP(Vlookup!B48,'CDCM Forecast Data'!$A$14:$I$271,7,FALSE)</f>
        <v>35107753.968315847</v>
      </c>
      <c r="C48" s="10" t="s">
        <v>262</v>
      </c>
      <c r="D48"/>
      <c r="E48"/>
      <c r="F48"/>
      <c r="G48"/>
      <c r="H48"/>
      <c r="I48"/>
      <c r="J48"/>
      <c r="K48"/>
    </row>
    <row r="49" spans="1:11" ht="15">
      <c r="A49" s="11" t="s">
        <v>64</v>
      </c>
      <c r="B49" s="14">
        <f>VLOOKUP(Vlookup!B49,'CDCM Forecast Data'!$A$14:$I$271,7,FALSE)</f>
        <v>30543501.50603817</v>
      </c>
      <c r="C49" s="10" t="s">
        <v>262</v>
      </c>
      <c r="D49"/>
      <c r="E49"/>
      <c r="F49"/>
      <c r="G49"/>
      <c r="H49"/>
      <c r="I49"/>
      <c r="J49"/>
      <c r="K49"/>
    </row>
    <row r="50" spans="1:11" ht="15">
      <c r="A50" s="11" t="s">
        <v>69</v>
      </c>
      <c r="B50" s="14">
        <f>VLOOKUP(Vlookup!B50,'CDCM Forecast Data'!$A$14:$I$271,7,FALSE)</f>
        <v>9835467.0175810196</v>
      </c>
      <c r="C50" s="10" t="s">
        <v>262</v>
      </c>
      <c r="D50"/>
      <c r="E50"/>
      <c r="F50"/>
      <c r="G50"/>
      <c r="H50"/>
      <c r="I50"/>
      <c r="J50"/>
      <c r="K50"/>
    </row>
    <row r="51" spans="1:11" ht="15">
      <c r="A51" s="11" t="s">
        <v>65</v>
      </c>
      <c r="B51" s="14">
        <f>VLOOKUP(Vlookup!B51,'CDCM Forecast Data'!$A$14:$I$271,7,FALSE)</f>
        <v>147333759.21582276</v>
      </c>
      <c r="C51" s="10" t="s">
        <v>262</v>
      </c>
      <c r="D51"/>
      <c r="E51"/>
      <c r="F51"/>
      <c r="G51"/>
      <c r="H51"/>
      <c r="I51"/>
      <c r="J51"/>
      <c r="K51"/>
    </row>
    <row r="52" spans="1:11" ht="15">
      <c r="A52" s="11" t="s">
        <v>66</v>
      </c>
      <c r="B52" s="14">
        <f>VLOOKUP(Vlookup!B52,'CDCM Forecast Data'!$A$14:$I$271,7,FALSE)</f>
        <v>56919673.681947716</v>
      </c>
      <c r="C52" s="10" t="s">
        <v>262</v>
      </c>
      <c r="D52"/>
      <c r="E52"/>
      <c r="F52"/>
      <c r="G52"/>
      <c r="H52"/>
      <c r="I52"/>
      <c r="J52"/>
      <c r="K52"/>
    </row>
    <row r="53" spans="1:11" ht="15">
      <c r="A53" s="11" t="s">
        <v>67</v>
      </c>
      <c r="B53" s="14">
        <f>VLOOKUP(Vlookup!B53,'CDCM Forecast Data'!$A$14:$I$271,7,FALSE)</f>
        <v>117228720.50330949</v>
      </c>
      <c r="C53" s="10"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11" t="s">
        <v>83</v>
      </c>
      <c r="B58" s="14">
        <f>VLOOKUP(Vlookup!B58,'CDCM Forecast Data'!$A$14:$I$271,7,FALSE)</f>
        <v>5269.7124065890775</v>
      </c>
      <c r="C58" s="14">
        <f>VLOOKUP(Vlookup!C58,'CDCM Forecast Data'!$A$14:$I$271,7,FALSE)</f>
        <v>592.78995973142344</v>
      </c>
      <c r="D58" s="14">
        <f>VLOOKUP(Vlookup!D58,'CDCM Forecast Data'!$A$14:$I$271,7,FALSE)</f>
        <v>721.71755265890772</v>
      </c>
      <c r="E58" s="14">
        <f>VLOOKUP(Vlookup!E58,'CDCM Forecast Data'!$A$14:$I$271,7,FALSE)</f>
        <v>535.24014789615035</v>
      </c>
      <c r="F58" s="14">
        <f>VLOOKUP(Vlookup!F58,'CDCM Forecast Data'!$A$14:$I$271,7,FALSE)</f>
        <v>1216.7199700483438</v>
      </c>
      <c r="G58" s="14">
        <f>VLOOKUP(Vlookup!G58,'CDCM Forecast Data'!$A$14:$I$271,7,FALSE)</f>
        <v>937.13364714413615</v>
      </c>
      <c r="H58" s="14">
        <f>VLOOKUP(Vlookup!H58,'CDCM Forecast Data'!$A$14:$I$271,7,FALSE)</f>
        <v>0</v>
      </c>
      <c r="I58" s="14">
        <f>VLOOKUP(Vlookup!I58,'CDCM Forecast Data'!$A$14:$I$271,7,FALSE)</f>
        <v>490.12636490599829</v>
      </c>
      <c r="J58" s="10"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11" t="s">
        <v>90</v>
      </c>
      <c r="B63" s="14">
        <f>VLOOKUP(Vlookup!B63,'CDCM Forecast Data'!$A$14:$I$271,7,FALSE)</f>
        <v>9297.4531976078779</v>
      </c>
      <c r="C63" s="14">
        <f>VLOOKUP(Vlookup!C63,'CDCM Forecast Data'!$A$14:$I$271,7,FALSE)</f>
        <v>4482.616264995524</v>
      </c>
      <c r="D63" s="14">
        <f>VLOOKUP(Vlookup!D63,'CDCM Forecast Data'!$A$14:$I$271,7,FALSE)</f>
        <v>0</v>
      </c>
      <c r="E63" s="14">
        <f>VLOOKUP(Vlookup!E63,'CDCM Forecast Data'!$A$14:$I$271,7,FALSE)</f>
        <v>0</v>
      </c>
      <c r="F63" s="14">
        <f>VLOOKUP(Vlookup!F63,'CDCM Forecast Data'!$A$14:$I$271,7,FALSE)</f>
        <v>0</v>
      </c>
      <c r="G63" s="10"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18</v>
      </c>
      <c r="C66">
        <f t="shared" ref="C66:I66" si="0">B66+1</f>
        <v>19</v>
      </c>
      <c r="D66">
        <f t="shared" si="0"/>
        <v>20</v>
      </c>
      <c r="E66">
        <f t="shared" si="0"/>
        <v>21</v>
      </c>
      <c r="F66">
        <f t="shared" si="0"/>
        <v>22</v>
      </c>
      <c r="G66">
        <f t="shared" si="0"/>
        <v>23</v>
      </c>
      <c r="H66">
        <f t="shared" si="0"/>
        <v>24</v>
      </c>
      <c r="I66">
        <f t="shared" si="0"/>
        <v>25</v>
      </c>
      <c r="J66"/>
      <c r="K66"/>
    </row>
    <row r="67" spans="1:11" ht="15">
      <c r="A67"/>
      <c r="B67" s="3" t="s">
        <v>75</v>
      </c>
      <c r="C67" s="3" t="s">
        <v>76</v>
      </c>
      <c r="D67" s="3" t="s">
        <v>77</v>
      </c>
      <c r="E67" s="3" t="s">
        <v>78</v>
      </c>
      <c r="F67" s="3" t="s">
        <v>79</v>
      </c>
      <c r="G67" s="3" t="s">
        <v>80</v>
      </c>
      <c r="H67" s="3" t="s">
        <v>81</v>
      </c>
      <c r="I67" s="3" t="s">
        <v>82</v>
      </c>
      <c r="J67"/>
      <c r="K67"/>
    </row>
    <row r="68" spans="1:11" ht="15">
      <c r="A68" s="11" t="s">
        <v>92</v>
      </c>
      <c r="B68" s="16">
        <f>VLOOKUP($A68,'Mat of App'!$B$7:$AP$37,B$66,FALSE)</f>
        <v>0.05</v>
      </c>
      <c r="C68" s="16">
        <f>VLOOKUP($A68,'Mat of App'!$B$7:$AP$37,C$66,FALSE)</f>
        <v>0</v>
      </c>
      <c r="D68" s="16">
        <f>VLOOKUP($A68,'Mat of App'!$B$7:$AP$37,D$66,FALSE)</f>
        <v>0</v>
      </c>
      <c r="E68" s="16">
        <f>VLOOKUP($A68,'Mat of App'!$B$7:$AP$37,E$66,FALSE)</f>
        <v>0</v>
      </c>
      <c r="F68" s="16">
        <f>VLOOKUP($A68,'Mat of App'!$B$7:$AP$37,F$66,FALSE)</f>
        <v>0</v>
      </c>
      <c r="G68" s="16">
        <f>VLOOKUP($A68,'Mat of App'!$B$7:$AP$37,G$66,FALSE)</f>
        <v>0</v>
      </c>
      <c r="H68" s="16">
        <f>VLOOKUP($A68,'Mat of App'!$B$7:$AP$37,H$66,FALSE)</f>
        <v>0</v>
      </c>
      <c r="I68" s="16">
        <f>VLOOKUP($A68,'Mat of App'!$B$7:$AP$37,I$66,FALSE)</f>
        <v>0</v>
      </c>
      <c r="J68" s="10" t="s">
        <v>262</v>
      </c>
      <c r="K68"/>
    </row>
    <row r="69" spans="1:11" ht="15">
      <c r="A69" s="11" t="s">
        <v>93</v>
      </c>
      <c r="B69" s="16">
        <f>VLOOKUP($A69,'Mat of App'!$B$7:$AP$37,B$66,FALSE)</f>
        <v>0.05</v>
      </c>
      <c r="C69" s="16">
        <f>VLOOKUP($A69,'Mat of App'!$B$7:$AP$37,C$66,FALSE)</f>
        <v>0</v>
      </c>
      <c r="D69" s="16">
        <f>VLOOKUP($A69,'Mat of App'!$B$7:$AP$37,D$66,FALSE)</f>
        <v>0</v>
      </c>
      <c r="E69" s="16">
        <f>VLOOKUP($A69,'Mat of App'!$B$7:$AP$37,E$66,FALSE)</f>
        <v>0</v>
      </c>
      <c r="F69" s="16">
        <f>VLOOKUP($A69,'Mat of App'!$B$7:$AP$37,F$66,FALSE)</f>
        <v>0</v>
      </c>
      <c r="G69" s="16">
        <f>VLOOKUP($A69,'Mat of App'!$B$7:$AP$37,G$66,FALSE)</f>
        <v>0</v>
      </c>
      <c r="H69" s="16">
        <f>VLOOKUP($A69,'Mat of App'!$B$7:$AP$37,H$66,FALSE)</f>
        <v>0</v>
      </c>
      <c r="I69" s="16">
        <f>VLOOKUP($A69,'Mat of App'!$B$7:$AP$37,I$66,FALSE)</f>
        <v>0</v>
      </c>
      <c r="J69" s="10" t="s">
        <v>262</v>
      </c>
      <c r="K69"/>
    </row>
    <row r="70" spans="1:11" ht="15">
      <c r="A70" s="11" t="s">
        <v>94</v>
      </c>
      <c r="B70" s="16">
        <f>VLOOKUP($A70,'Mat of App'!$B$7:$AP$37,B$66,FALSE)</f>
        <v>0</v>
      </c>
      <c r="C70" s="16">
        <f>VLOOKUP($A70,'Mat of App'!$B$7:$AP$37,C$66,FALSE)</f>
        <v>1</v>
      </c>
      <c r="D70" s="16">
        <f>VLOOKUP($A70,'Mat of App'!$B$7:$AP$37,D$66,FALSE)</f>
        <v>0</v>
      </c>
      <c r="E70" s="16">
        <f>VLOOKUP($A70,'Mat of App'!$B$7:$AP$37,E$66,FALSE)</f>
        <v>0</v>
      </c>
      <c r="F70" s="16">
        <f>VLOOKUP($A70,'Mat of App'!$B$7:$AP$37,F$66,FALSE)</f>
        <v>0</v>
      </c>
      <c r="G70" s="16">
        <f>VLOOKUP($A70,'Mat of App'!$B$7:$AP$37,G$66,FALSE)</f>
        <v>0</v>
      </c>
      <c r="H70" s="16">
        <f>VLOOKUP($A70,'Mat of App'!$B$7:$AP$37,H$66,FALSE)</f>
        <v>0</v>
      </c>
      <c r="I70" s="16">
        <f>VLOOKUP($A70,'Mat of App'!$B$7:$AP$37,I$66,FALSE)</f>
        <v>0</v>
      </c>
      <c r="J70" s="10" t="s">
        <v>262</v>
      </c>
      <c r="K70"/>
    </row>
    <row r="71" spans="1:11" ht="15">
      <c r="A71" s="11" t="s">
        <v>95</v>
      </c>
      <c r="B71" s="16">
        <f>VLOOKUP($A71,'Mat of App'!$B$7:$AP$37,B$66,FALSE)</f>
        <v>0</v>
      </c>
      <c r="C71" s="16">
        <f>VLOOKUP($A71,'Mat of App'!$B$7:$AP$37,C$66,FALSE)</f>
        <v>1</v>
      </c>
      <c r="D71" s="16">
        <f>VLOOKUP($A71,'Mat of App'!$B$7:$AP$37,D$66,FALSE)</f>
        <v>0</v>
      </c>
      <c r="E71" s="16">
        <f>VLOOKUP($A71,'Mat of App'!$B$7:$AP$37,E$66,FALSE)</f>
        <v>0</v>
      </c>
      <c r="F71" s="16">
        <f>VLOOKUP($A71,'Mat of App'!$B$7:$AP$37,F$66,FALSE)</f>
        <v>0</v>
      </c>
      <c r="G71" s="16">
        <f>VLOOKUP($A71,'Mat of App'!$B$7:$AP$37,G$66,FALSE)</f>
        <v>0</v>
      </c>
      <c r="H71" s="16">
        <f>VLOOKUP($A71,'Mat of App'!$B$7:$AP$37,H$66,FALSE)</f>
        <v>0</v>
      </c>
      <c r="I71" s="16">
        <f>VLOOKUP($A71,'Mat of App'!$B$7:$AP$37,I$66,FALSE)</f>
        <v>0</v>
      </c>
      <c r="J71" s="10" t="s">
        <v>262</v>
      </c>
      <c r="K71"/>
    </row>
    <row r="72" spans="1:11" ht="15">
      <c r="A72" s="11" t="s">
        <v>96</v>
      </c>
      <c r="B72" s="16">
        <f>VLOOKUP($A72,'Mat of App'!$B$7:$AP$37,B$66,FALSE)</f>
        <v>0</v>
      </c>
      <c r="C72" s="16">
        <f>VLOOKUP($A72,'Mat of App'!$B$7:$AP$37,C$66,FALSE)</f>
        <v>0</v>
      </c>
      <c r="D72" s="16">
        <f>VLOOKUP($A72,'Mat of App'!$B$7:$AP$37,D$66,FALSE)</f>
        <v>1</v>
      </c>
      <c r="E72" s="16">
        <f>VLOOKUP($A72,'Mat of App'!$B$7:$AP$37,E$66,FALSE)</f>
        <v>0</v>
      </c>
      <c r="F72" s="16">
        <f>VLOOKUP($A72,'Mat of App'!$B$7:$AP$37,F$66,FALSE)</f>
        <v>0</v>
      </c>
      <c r="G72" s="16">
        <f>VLOOKUP($A72,'Mat of App'!$B$7:$AP$37,G$66,FALSE)</f>
        <v>0</v>
      </c>
      <c r="H72" s="16">
        <f>VLOOKUP($A72,'Mat of App'!$B$7:$AP$37,H$66,FALSE)</f>
        <v>0</v>
      </c>
      <c r="I72" s="16">
        <f>VLOOKUP($A72,'Mat of App'!$B$7:$AP$37,I$66,FALSE)</f>
        <v>0</v>
      </c>
      <c r="J72" s="10"/>
      <c r="K72"/>
    </row>
    <row r="73" spans="1:11" ht="15">
      <c r="A73" s="11" t="s">
        <v>97</v>
      </c>
      <c r="B73" s="16">
        <f>VLOOKUP($A73,'Mat of App'!$B$7:$AP$37,B$66,FALSE)</f>
        <v>0</v>
      </c>
      <c r="C73" s="16">
        <f>VLOOKUP($A73,'Mat of App'!$B$7:$AP$37,C$66,FALSE)</f>
        <v>0</v>
      </c>
      <c r="D73" s="16">
        <f>VLOOKUP($A73,'Mat of App'!$B$7:$AP$37,D$66,FALSE)</f>
        <v>0</v>
      </c>
      <c r="E73" s="16">
        <f>VLOOKUP($A73,'Mat of App'!$B$7:$AP$37,E$66,FALSE)</f>
        <v>1</v>
      </c>
      <c r="F73" s="16">
        <f>VLOOKUP($A73,'Mat of App'!$B$7:$AP$37,F$66,FALSE)</f>
        <v>0</v>
      </c>
      <c r="G73" s="16">
        <f>VLOOKUP($A73,'Mat of App'!$B$7:$AP$37,G$66,FALSE)</f>
        <v>0</v>
      </c>
      <c r="H73" s="16">
        <f>VLOOKUP($A73,'Mat of App'!$B$7:$AP$37,H$66,FALSE)</f>
        <v>0</v>
      </c>
      <c r="I73" s="16">
        <f>VLOOKUP($A73,'Mat of App'!$B$7:$AP$37,I$66,FALSE)</f>
        <v>0</v>
      </c>
      <c r="J73" s="10"/>
      <c r="K73"/>
    </row>
    <row r="74" spans="1:11" ht="15">
      <c r="A74" s="11" t="s">
        <v>1647</v>
      </c>
      <c r="B74" s="16">
        <f>VLOOKUP($A74,'Mat of App'!$B$7:$AP$37,B$66,FALSE)</f>
        <v>0.05</v>
      </c>
      <c r="C74" s="16">
        <f>VLOOKUP($A74,'Mat of App'!$B$7:$AP$37,C$66,FALSE)</f>
        <v>0</v>
      </c>
      <c r="D74" s="16">
        <f>VLOOKUP($A74,'Mat of App'!$B$7:$AP$37,D$66,FALSE)</f>
        <v>0</v>
      </c>
      <c r="E74" s="16">
        <f>VLOOKUP($A74,'Mat of App'!$B$7:$AP$37,E$66,FALSE)</f>
        <v>0</v>
      </c>
      <c r="F74" s="16">
        <f>VLOOKUP($A74,'Mat of App'!$B$7:$AP$37,F$66,FALSE)</f>
        <v>0</v>
      </c>
      <c r="G74" s="16">
        <f>VLOOKUP($A74,'Mat of App'!$B$7:$AP$37,G$66,FALSE)</f>
        <v>0</v>
      </c>
      <c r="H74" s="16">
        <f>VLOOKUP($A74,'Mat of App'!$B$7:$AP$37,H$66,FALSE)</f>
        <v>0</v>
      </c>
      <c r="I74" s="16">
        <f>VLOOKUP($A74,'Mat of App'!$B$7:$AP$37,I$66,FALSE)</f>
        <v>0</v>
      </c>
      <c r="J74" s="10" t="s">
        <v>262</v>
      </c>
      <c r="K74"/>
    </row>
    <row r="75" spans="1:11" ht="15">
      <c r="A75" s="11" t="s">
        <v>1646</v>
      </c>
      <c r="B75" s="16">
        <f>VLOOKUP($A75,'Mat of App'!$B$7:$AP$37,B$66,FALSE)</f>
        <v>0</v>
      </c>
      <c r="C75" s="16">
        <f>VLOOKUP($A75,'Mat of App'!$B$7:$AP$37,C$66,FALSE)</f>
        <v>1</v>
      </c>
      <c r="D75" s="16">
        <f>VLOOKUP($A75,'Mat of App'!$B$7:$AP$37,D$66,FALSE)</f>
        <v>0</v>
      </c>
      <c r="E75" s="16">
        <f>VLOOKUP($A75,'Mat of App'!$B$7:$AP$37,E$66,FALSE)</f>
        <v>0</v>
      </c>
      <c r="F75" s="16">
        <f>VLOOKUP($A75,'Mat of App'!$B$7:$AP$37,F$66,FALSE)</f>
        <v>0</v>
      </c>
      <c r="G75" s="16">
        <f>VLOOKUP($A75,'Mat of App'!$B$7:$AP$37,G$66,FALSE)</f>
        <v>0</v>
      </c>
      <c r="H75" s="16">
        <f>VLOOKUP($A75,'Mat of App'!$B$7:$AP$37,H$66,FALSE)</f>
        <v>0</v>
      </c>
      <c r="I75" s="16">
        <f>VLOOKUP($A75,'Mat of App'!$B$7:$AP$37,I$66,FALSE)</f>
        <v>0</v>
      </c>
      <c r="J75" s="10" t="s">
        <v>262</v>
      </c>
      <c r="K75"/>
    </row>
    <row r="76" spans="1:11" ht="15">
      <c r="A76" s="11" t="s">
        <v>98</v>
      </c>
      <c r="B76" s="16">
        <f>VLOOKUP($A76,'Mat of App'!$B$7:$AP$37,B$66,FALSE)</f>
        <v>0</v>
      </c>
      <c r="C76" s="16">
        <f>VLOOKUP($A76,'Mat of App'!$B$7:$AP$37,C$66,FALSE)</f>
        <v>0</v>
      </c>
      <c r="D76" s="16">
        <f>VLOOKUP($A76,'Mat of App'!$B$7:$AP$37,D$66,FALSE)</f>
        <v>0</v>
      </c>
      <c r="E76" s="16">
        <f>VLOOKUP($A76,'Mat of App'!$B$7:$AP$37,E$66,FALSE)</f>
        <v>0</v>
      </c>
      <c r="F76" s="16">
        <f>VLOOKUP($A76,'Mat of App'!$B$7:$AP$37,F$66,FALSE)</f>
        <v>1</v>
      </c>
      <c r="G76" s="16">
        <f>VLOOKUP($A76,'Mat of App'!$B$7:$AP$37,G$66,FALSE)</f>
        <v>0</v>
      </c>
      <c r="H76" s="16">
        <f>VLOOKUP($A76,'Mat of App'!$B$7:$AP$37,H$66,FALSE)</f>
        <v>0</v>
      </c>
      <c r="I76" s="16">
        <f>VLOOKUP($A76,'Mat of App'!$B$7:$AP$37,I$66,FALSE)</f>
        <v>0</v>
      </c>
      <c r="J76" s="10" t="s">
        <v>262</v>
      </c>
      <c r="K76"/>
    </row>
    <row r="77" spans="1:11" ht="15">
      <c r="A77" s="11" t="s">
        <v>99</v>
      </c>
      <c r="B77" s="16">
        <f>VLOOKUP($A77,'Mat of App'!$B$7:$AP$37,B$66,FALSE)</f>
        <v>0</v>
      </c>
      <c r="C77" s="16">
        <f>VLOOKUP($A77,'Mat of App'!$B$7:$AP$37,C$66,FALSE)</f>
        <v>0</v>
      </c>
      <c r="D77" s="16">
        <f>VLOOKUP($A77,'Mat of App'!$B$7:$AP$37,D$66,FALSE)</f>
        <v>0</v>
      </c>
      <c r="E77" s="16">
        <f>VLOOKUP($A77,'Mat of App'!$B$7:$AP$37,E$66,FALSE)</f>
        <v>0</v>
      </c>
      <c r="F77" s="16">
        <f>VLOOKUP($A77,'Mat of App'!$B$7:$AP$37,F$66,FALSE)</f>
        <v>0</v>
      </c>
      <c r="G77" s="16">
        <f>VLOOKUP($A77,'Mat of App'!$B$7:$AP$37,G$66,FALSE)</f>
        <v>1</v>
      </c>
      <c r="H77" s="16">
        <f>VLOOKUP($A77,'Mat of App'!$B$7:$AP$37,H$66,FALSE)</f>
        <v>0</v>
      </c>
      <c r="I77" s="16">
        <f>VLOOKUP($A77,'Mat of App'!$B$7:$AP$37,I$66,FALSE)</f>
        <v>0</v>
      </c>
      <c r="J77" s="10" t="s">
        <v>262</v>
      </c>
      <c r="K77"/>
    </row>
    <row r="78" spans="1:11" ht="15">
      <c r="A78" s="11" t="s">
        <v>1645</v>
      </c>
      <c r="B78" s="16">
        <f>VLOOKUP($A78,'Mat of App'!$B$7:$AP$37,B$66,FALSE)</f>
        <v>0</v>
      </c>
      <c r="C78" s="16">
        <f>VLOOKUP($A78,'Mat of App'!$B$7:$AP$37,C$66,FALSE)</f>
        <v>0</v>
      </c>
      <c r="D78" s="16">
        <f>VLOOKUP($A78,'Mat of App'!$B$7:$AP$37,D$66,FALSE)</f>
        <v>0</v>
      </c>
      <c r="E78" s="16">
        <f>VLOOKUP($A78,'Mat of App'!$B$7:$AP$37,E$66,FALSE)</f>
        <v>0</v>
      </c>
      <c r="F78" s="16">
        <f>VLOOKUP($A78,'Mat of App'!$B$7:$AP$37,F$66,FALSE)</f>
        <v>0</v>
      </c>
      <c r="G78" s="16">
        <f>VLOOKUP($A78,'Mat of App'!$B$7:$AP$37,G$66,FALSE)</f>
        <v>0</v>
      </c>
      <c r="H78" s="16">
        <f>VLOOKUP($A78,'Mat of App'!$B$7:$AP$37,H$66,FALSE)</f>
        <v>1</v>
      </c>
      <c r="I78" s="16">
        <f>VLOOKUP($A78,'Mat of App'!$B$7:$AP$37,I$66,FALSE)</f>
        <v>0</v>
      </c>
      <c r="J78" s="10" t="s">
        <v>262</v>
      </c>
      <c r="K78"/>
    </row>
    <row r="79" spans="1:11" ht="15">
      <c r="A79" s="11" t="s">
        <v>100</v>
      </c>
      <c r="B79" s="16">
        <f>VLOOKUP($A79,'Mat of App'!$B$7:$AP$37,B$66,FALSE)</f>
        <v>0</v>
      </c>
      <c r="C79" s="16">
        <f>VLOOKUP($A79,'Mat of App'!$B$7:$AP$37,C$66,FALSE)</f>
        <v>0</v>
      </c>
      <c r="D79" s="16">
        <f>VLOOKUP($A79,'Mat of App'!$B$7:$AP$37,D$66,FALSE)</f>
        <v>0</v>
      </c>
      <c r="E79" s="16">
        <f>VLOOKUP($A79,'Mat of App'!$B$7:$AP$37,E$66,FALSE)</f>
        <v>0</v>
      </c>
      <c r="F79" s="16">
        <f>VLOOKUP($A79,'Mat of App'!$B$7:$AP$37,F$66,FALSE)</f>
        <v>0</v>
      </c>
      <c r="G79" s="16">
        <f>VLOOKUP($A79,'Mat of App'!$B$7:$AP$37,G$66,FALSE)</f>
        <v>0</v>
      </c>
      <c r="H79" s="16">
        <f>VLOOKUP($A79,'Mat of App'!$B$7:$AP$37,H$66,FALSE)</f>
        <v>1</v>
      </c>
      <c r="I79" s="16">
        <f>VLOOKUP($A79,'Mat of App'!$B$7:$AP$37,I$66,FALSE)</f>
        <v>0</v>
      </c>
      <c r="J79" s="10" t="s">
        <v>262</v>
      </c>
      <c r="K79"/>
    </row>
    <row r="80" spans="1:11" ht="15">
      <c r="A80" s="11" t="s">
        <v>101</v>
      </c>
      <c r="B80" s="16">
        <f>VLOOKUP($A80,'Mat of App'!$B$7:$AP$37,B$66,FALSE)</f>
        <v>0</v>
      </c>
      <c r="C80" s="16">
        <f>VLOOKUP($A80,'Mat of App'!$B$7:$AP$37,C$66,FALSE)</f>
        <v>0</v>
      </c>
      <c r="D80" s="16">
        <f>VLOOKUP($A80,'Mat of App'!$B$7:$AP$37,D$66,FALSE)</f>
        <v>0</v>
      </c>
      <c r="E80" s="16">
        <f>VLOOKUP($A80,'Mat of App'!$B$7:$AP$37,E$66,FALSE)</f>
        <v>0</v>
      </c>
      <c r="F80" s="16">
        <f>VLOOKUP($A80,'Mat of App'!$B$7:$AP$37,F$66,FALSE)</f>
        <v>0</v>
      </c>
      <c r="G80" s="16">
        <f>VLOOKUP($A80,'Mat of App'!$B$7:$AP$37,G$66,FALSE)</f>
        <v>0</v>
      </c>
      <c r="H80" s="16">
        <f>VLOOKUP($A80,'Mat of App'!$B$7:$AP$37,H$66,FALSE)</f>
        <v>1</v>
      </c>
      <c r="I80" s="16">
        <f>VLOOKUP($A80,'Mat of App'!$B$7:$AP$37,I$66,FALSE)</f>
        <v>0</v>
      </c>
      <c r="J80" s="10" t="s">
        <v>262</v>
      </c>
      <c r="K80"/>
    </row>
    <row r="81" spans="1:11" ht="15">
      <c r="A81" s="11" t="s">
        <v>102</v>
      </c>
      <c r="B81" s="16">
        <f>VLOOKUP($A81,'Mat of App'!$B$7:$AP$37,B$66,FALSE)</f>
        <v>0</v>
      </c>
      <c r="C81" s="16">
        <f>VLOOKUP($A81,'Mat of App'!$B$7:$AP$37,C$66,FALSE)</f>
        <v>0</v>
      </c>
      <c r="D81" s="16">
        <f>VLOOKUP($A81,'Mat of App'!$B$7:$AP$37,D$66,FALSE)</f>
        <v>0</v>
      </c>
      <c r="E81" s="16">
        <f>VLOOKUP($A81,'Mat of App'!$B$7:$AP$37,E$66,FALSE)</f>
        <v>0</v>
      </c>
      <c r="F81" s="16">
        <f>VLOOKUP($A81,'Mat of App'!$B$7:$AP$37,F$66,FALSE)</f>
        <v>0</v>
      </c>
      <c r="G81" s="16">
        <f>VLOOKUP($A81,'Mat of App'!$B$7:$AP$37,G$66,FALSE)</f>
        <v>0</v>
      </c>
      <c r="H81" s="16">
        <f>VLOOKUP($A81,'Mat of App'!$B$7:$AP$37,H$66,FALSE)</f>
        <v>0</v>
      </c>
      <c r="I81" s="16">
        <f>VLOOKUP($A81,'Mat of App'!$B$7:$AP$37,I$66,FALSE)</f>
        <v>0</v>
      </c>
      <c r="J81" s="10" t="s">
        <v>262</v>
      </c>
      <c r="K81"/>
    </row>
    <row r="82" spans="1:11" ht="15">
      <c r="A82" s="11" t="s">
        <v>103</v>
      </c>
      <c r="B82" s="16">
        <f>VLOOKUP($A82,'Mat of App'!$B$7:$AP$37,B$66,FALSE)</f>
        <v>0</v>
      </c>
      <c r="C82" s="16">
        <f>VLOOKUP($A82,'Mat of App'!$B$7:$AP$37,C$66,FALSE)</f>
        <v>0</v>
      </c>
      <c r="D82" s="16">
        <f>VLOOKUP($A82,'Mat of App'!$B$7:$AP$37,D$66,FALSE)</f>
        <v>0</v>
      </c>
      <c r="E82" s="16">
        <f>VLOOKUP($A82,'Mat of App'!$B$7:$AP$37,E$66,FALSE)</f>
        <v>0</v>
      </c>
      <c r="F82" s="16">
        <f>VLOOKUP($A82,'Mat of App'!$B$7:$AP$37,F$66,FALSE)</f>
        <v>0</v>
      </c>
      <c r="G82" s="16">
        <f>VLOOKUP($A82,'Mat of App'!$B$7:$AP$37,G$66,FALSE)</f>
        <v>0</v>
      </c>
      <c r="H82" s="16">
        <f>VLOOKUP($A82,'Mat of App'!$B$7:$AP$37,H$66,FALSE)</f>
        <v>0</v>
      </c>
      <c r="I82" s="16">
        <f>VLOOKUP($A82,'Mat of App'!$B$7:$AP$37,I$66,FALSE)</f>
        <v>0</v>
      </c>
      <c r="J82" s="10" t="s">
        <v>262</v>
      </c>
      <c r="K82"/>
    </row>
    <row r="83" spans="1:11" ht="15">
      <c r="A83" s="11" t="s">
        <v>104</v>
      </c>
      <c r="B83" s="16">
        <f>VLOOKUP($A83,'Mat of App'!$B$7:$AP$37,B$66,FALSE)</f>
        <v>0</v>
      </c>
      <c r="C83" s="16">
        <f>VLOOKUP($A83,'Mat of App'!$B$7:$AP$37,C$66,FALSE)</f>
        <v>0</v>
      </c>
      <c r="D83" s="16">
        <f>VLOOKUP($A83,'Mat of App'!$B$7:$AP$37,D$66,FALSE)</f>
        <v>0</v>
      </c>
      <c r="E83" s="16">
        <f>VLOOKUP($A83,'Mat of App'!$B$7:$AP$37,E$66,FALSE)</f>
        <v>0</v>
      </c>
      <c r="F83" s="16">
        <f>VLOOKUP($A83,'Mat of App'!$B$7:$AP$37,F$66,FALSE)</f>
        <v>0</v>
      </c>
      <c r="G83" s="16">
        <f>VLOOKUP($A83,'Mat of App'!$B$7:$AP$37,G$66,FALSE)</f>
        <v>0</v>
      </c>
      <c r="H83" s="16">
        <f>VLOOKUP($A83,'Mat of App'!$B$7:$AP$37,H$66,FALSE)</f>
        <v>0</v>
      </c>
      <c r="I83" s="16">
        <f>VLOOKUP($A83,'Mat of App'!$B$7:$AP$37,I$66,FALSE)</f>
        <v>0</v>
      </c>
      <c r="J83" s="10"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11"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0.48759999999999998</v>
      </c>
      <c r="J90" s="10"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12</v>
      </c>
      <c r="C93">
        <f>B93+1</f>
        <v>13</v>
      </c>
      <c r="D93">
        <f>C93+1</f>
        <v>14</v>
      </c>
      <c r="E93">
        <f>D93+1</f>
        <v>15</v>
      </c>
      <c r="F93">
        <f>E93+1</f>
        <v>16</v>
      </c>
      <c r="G93"/>
      <c r="H93"/>
      <c r="I93"/>
      <c r="J93"/>
      <c r="K93"/>
    </row>
    <row r="94" spans="1:11" ht="15">
      <c r="A94"/>
      <c r="B94" s="3" t="s">
        <v>85</v>
      </c>
      <c r="C94" s="3" t="s">
        <v>86</v>
      </c>
      <c r="D94" s="3" t="s">
        <v>87</v>
      </c>
      <c r="E94" s="3" t="s">
        <v>88</v>
      </c>
      <c r="F94" s="3" t="s">
        <v>89</v>
      </c>
      <c r="G94"/>
      <c r="H94"/>
      <c r="I94"/>
      <c r="J94"/>
      <c r="K94"/>
    </row>
    <row r="95" spans="1:11" ht="15">
      <c r="A95" s="11" t="s">
        <v>110</v>
      </c>
      <c r="B95" s="16">
        <f>VLOOKUP($A95,'Mat of App'!$B$7:$AP$37,B$93,FALSE)</f>
        <v>1</v>
      </c>
      <c r="C95" s="16">
        <f>VLOOKUP($A95,'Mat of App'!$B$7:$AP$37,C$93,FALSE)</f>
        <v>0</v>
      </c>
      <c r="D95" s="16">
        <f>VLOOKUP($A95,'Mat of App'!$B$7:$AP$37,D$93,FALSE)</f>
        <v>0</v>
      </c>
      <c r="E95" s="16">
        <f>VLOOKUP($A95,'Mat of App'!$B$7:$AP$37,E$93,FALSE)</f>
        <v>0</v>
      </c>
      <c r="F95" s="16">
        <f>VLOOKUP($A95,'Mat of App'!$B$7:$AP$37,F$93,FALSE)</f>
        <v>0</v>
      </c>
      <c r="G95" s="10" t="s">
        <v>262</v>
      </c>
      <c r="H95"/>
      <c r="I95"/>
      <c r="J95"/>
      <c r="K95"/>
    </row>
    <row r="96" spans="1:11" ht="15">
      <c r="A96" s="11" t="s">
        <v>111</v>
      </c>
      <c r="B96" s="16">
        <f>VLOOKUP($A96,'Mat of App'!$B$7:$AP$37,B$93,FALSE)</f>
        <v>1</v>
      </c>
      <c r="C96" s="16">
        <f>VLOOKUP($A96,'Mat of App'!$B$7:$AP$37,C$93,FALSE)</f>
        <v>0</v>
      </c>
      <c r="D96" s="16">
        <f>VLOOKUP($A96,'Mat of App'!$B$7:$AP$37,D$93,FALSE)</f>
        <v>0</v>
      </c>
      <c r="E96" s="16">
        <f>VLOOKUP($A96,'Mat of App'!$B$7:$AP$37,E$93,FALSE)</f>
        <v>0</v>
      </c>
      <c r="F96" s="16">
        <f>VLOOKUP($A96,'Mat of App'!$B$7:$AP$37,F$93,FALSE)</f>
        <v>0</v>
      </c>
      <c r="G96" s="10" t="s">
        <v>262</v>
      </c>
      <c r="H96"/>
      <c r="I96"/>
      <c r="J96"/>
      <c r="K96"/>
    </row>
    <row r="97" spans="1:11" customFormat="1" ht="15">
      <c r="A97" s="11" t="s">
        <v>112</v>
      </c>
      <c r="B97" s="16">
        <f>VLOOKUP($A97,'Mat of App'!$B$7:$AP$37,B$93,FALSE)</f>
        <v>0</v>
      </c>
      <c r="C97" s="16">
        <f>VLOOKUP($A97,'Mat of App'!$B$7:$AP$37,C$93,FALSE)</f>
        <v>1</v>
      </c>
      <c r="D97" s="16">
        <f>VLOOKUP($A97,'Mat of App'!$B$7:$AP$37,D$93,FALSE)</f>
        <v>0</v>
      </c>
      <c r="E97" s="16">
        <f>VLOOKUP($A97,'Mat of App'!$B$7:$AP$37,E$93,FALSE)</f>
        <v>0</v>
      </c>
      <c r="F97" s="16">
        <f>VLOOKUP($A97,'Mat of App'!$B$7:$AP$37,F$93,FALSE)</f>
        <v>0</v>
      </c>
      <c r="G97" s="10"/>
    </row>
    <row r="98" spans="1:11" customFormat="1" ht="15">
      <c r="A98" s="11" t="s">
        <v>113</v>
      </c>
      <c r="B98" s="16">
        <f>VLOOKUP($A98,'Mat of App'!$B$7:$AP$37,B$93,FALSE)</f>
        <v>0</v>
      </c>
      <c r="C98" s="16">
        <f>VLOOKUP($A98,'Mat of App'!$B$7:$AP$37,C$93,FALSE)</f>
        <v>1</v>
      </c>
      <c r="D98" s="16">
        <f>VLOOKUP($A98,'Mat of App'!$B$7:$AP$37,D$93,FALSE)</f>
        <v>0</v>
      </c>
      <c r="E98" s="16">
        <f>VLOOKUP($A98,'Mat of App'!$B$7:$AP$37,E$93,FALSE)</f>
        <v>0</v>
      </c>
      <c r="F98" s="16">
        <f>VLOOKUP($A98,'Mat of App'!$B$7:$AP$37,F$93,FALSE)</f>
        <v>0</v>
      </c>
      <c r="G98" s="10"/>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11" t="s">
        <v>116</v>
      </c>
      <c r="B104" s="4">
        <f>VLOOKUP(Vlookup!B69,'CDCM Forecast Data'!$A$14:$I$271,7,FALSE)</f>
        <v>1.0097</v>
      </c>
      <c r="C104" s="4">
        <f>VLOOKUP(Vlookup!C69,'CDCM Forecast Data'!$A$14:$I$271,7,FALSE)</f>
        <v>1.0142</v>
      </c>
      <c r="D104" s="4">
        <f>VLOOKUP(Vlookup!D69,'CDCM Forecast Data'!$A$14:$I$271,7,FALSE)</f>
        <v>1.0269999999999999</v>
      </c>
      <c r="E104" s="4">
        <f>VLOOKUP(Vlookup!E69,'CDCM Forecast Data'!$A$14:$I$271,7,FALSE)</f>
        <v>1.0348999999999999</v>
      </c>
      <c r="F104" s="4">
        <f>VLOOKUP(Vlookup!F69,'CDCM Forecast Data'!$A$14:$I$271,7,FALSE)</f>
        <v>1.0439000000000001</v>
      </c>
      <c r="G104" s="4">
        <f>VLOOKUP(Vlookup!G69,'CDCM Forecast Data'!$A$14:$I$271,7,FALSE)</f>
        <v>1.0640000000000001</v>
      </c>
      <c r="H104" s="4">
        <f>VLOOKUP(Vlookup!H69,'CDCM Forecast Data'!$A$14:$I$271,7,FALSE)</f>
        <v>1.085</v>
      </c>
      <c r="I104" s="10"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11" t="s">
        <v>124</v>
      </c>
      <c r="B110" s="8"/>
      <c r="C110" s="16">
        <f>VLOOKUP(Vlookup!C75,'CDCM Forecast Data'!$A$14:$I$271,7,FALSE)</f>
        <v>0.31963777193131604</v>
      </c>
      <c r="D110" s="16">
        <f>VLOOKUP(Vlookup!D75,'CDCM Forecast Data'!$A$14:$I$271,7,FALSE)</f>
        <v>0.63846715658715969</v>
      </c>
      <c r="E110" s="16">
        <f>VLOOKUP(Vlookup!E75,'CDCM Forecast Data'!$A$14:$I$271,7,FALSE)</f>
        <v>0.45349156811055275</v>
      </c>
      <c r="F110" s="16">
        <f>VLOOKUP(Vlookup!F75,'CDCM Forecast Data'!$A$14:$I$271,7,FALSE)</f>
        <v>0.34444405043316395</v>
      </c>
      <c r="G110" s="10"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11" t="s">
        <v>92</v>
      </c>
      <c r="B116" s="4">
        <f>VLOOKUP(Vlookup!B81,'CDCM Forecast Data'!$A$14:$I$271,6,FALSE)</f>
        <v>0.85759516031476501</v>
      </c>
      <c r="C116" s="4">
        <f>VLOOKUP(Vlookup!C81,'CDCM Forecast Data'!$A$14:$I$271,6,FALSE)</f>
        <v>0.44003574379694171</v>
      </c>
      <c r="D116" s="10" t="s">
        <v>262</v>
      </c>
      <c r="E116"/>
      <c r="F116"/>
      <c r="G116"/>
      <c r="H116"/>
      <c r="I116"/>
      <c r="J116"/>
      <c r="K116"/>
    </row>
    <row r="117" spans="1:11" ht="15">
      <c r="A117" s="11" t="s">
        <v>93</v>
      </c>
      <c r="B117" s="4">
        <f>VLOOKUP(Vlookup!B82,'CDCM Forecast Data'!$A$14:$I$271,6,FALSE)</f>
        <v>0.28862941872680464</v>
      </c>
      <c r="C117" s="4">
        <f>VLOOKUP(Vlookup!C82,'CDCM Forecast Data'!$A$14:$I$271,6,FALSE)</f>
        <v>0.24997898838710139</v>
      </c>
      <c r="D117" s="10" t="s">
        <v>262</v>
      </c>
      <c r="E117"/>
      <c r="F117"/>
      <c r="G117"/>
      <c r="H117"/>
      <c r="I117"/>
      <c r="J117"/>
      <c r="K117"/>
    </row>
    <row r="118" spans="1:11" ht="15">
      <c r="A118" s="11" t="s">
        <v>129</v>
      </c>
      <c r="B118" s="8"/>
      <c r="C118" s="4">
        <f>VLOOKUP(Vlookup!C83,'CDCM Forecast Data'!$A$14:$I$271,6,FALSE)</f>
        <v>0.25721840525583911</v>
      </c>
      <c r="D118" s="10" t="s">
        <v>262</v>
      </c>
      <c r="E118"/>
      <c r="F118"/>
      <c r="G118"/>
      <c r="H118"/>
      <c r="I118"/>
      <c r="J118"/>
      <c r="K118"/>
    </row>
    <row r="119" spans="1:11" ht="15">
      <c r="A119" s="11" t="s">
        <v>94</v>
      </c>
      <c r="B119" s="4">
        <f>VLOOKUP(Vlookup!B84,'CDCM Forecast Data'!$A$14:$I$271,6,FALSE)</f>
        <v>0.63063099162887759</v>
      </c>
      <c r="C119" s="4">
        <f>VLOOKUP(Vlookup!C84,'CDCM Forecast Data'!$A$14:$I$271,6,FALSE)</f>
        <v>0.41141924234461547</v>
      </c>
      <c r="D119" s="10" t="s">
        <v>262</v>
      </c>
      <c r="E119"/>
      <c r="F119"/>
      <c r="G119"/>
      <c r="H119"/>
      <c r="I119"/>
      <c r="J119"/>
      <c r="K119"/>
    </row>
    <row r="120" spans="1:11" ht="15">
      <c r="A120" s="11" t="s">
        <v>95</v>
      </c>
      <c r="B120" s="4">
        <f>VLOOKUP(Vlookup!B85,'CDCM Forecast Data'!$A$14:$I$271,6,FALSE)</f>
        <v>0.72549700914004911</v>
      </c>
      <c r="C120" s="4">
        <f>VLOOKUP(Vlookup!C85,'CDCM Forecast Data'!$A$14:$I$271,6,FALSE)</f>
        <v>0.55069014186184517</v>
      </c>
      <c r="D120" s="10" t="s">
        <v>262</v>
      </c>
      <c r="E120"/>
      <c r="F120"/>
      <c r="G120"/>
      <c r="H120"/>
      <c r="I120"/>
      <c r="J120"/>
      <c r="K120"/>
    </row>
    <row r="121" spans="1:11" ht="15">
      <c r="A121" s="11" t="s">
        <v>130</v>
      </c>
      <c r="B121" s="8"/>
      <c r="C121" s="4">
        <f>VLOOKUP(Vlookup!C86,'CDCM Forecast Data'!$A$14:$I$271,6,FALSE)</f>
        <v>0.28056285937387915</v>
      </c>
      <c r="D121" s="10" t="s">
        <v>262</v>
      </c>
      <c r="E121"/>
      <c r="F121"/>
      <c r="G121"/>
      <c r="H121"/>
      <c r="I121"/>
      <c r="J121"/>
      <c r="K121"/>
    </row>
    <row r="122" spans="1:11" ht="15">
      <c r="A122" s="11" t="s">
        <v>96</v>
      </c>
      <c r="B122" s="4">
        <f>VLOOKUP(Vlookup!B87,'CDCM Forecast Data'!$A$14:$I$271,6,FALSE)</f>
        <v>0.77193739705983777</v>
      </c>
      <c r="C122" s="4">
        <f>VLOOKUP(Vlookup!C87,'CDCM Forecast Data'!$A$14:$I$271,6,FALSE)</f>
        <v>0.54202643928388716</v>
      </c>
      <c r="D122" s="10" t="s">
        <v>262</v>
      </c>
      <c r="E122"/>
      <c r="F122"/>
      <c r="G122"/>
      <c r="H122"/>
      <c r="I122"/>
      <c r="J122"/>
      <c r="K122"/>
    </row>
    <row r="123" spans="1:11" ht="15">
      <c r="A123" s="11" t="s">
        <v>97</v>
      </c>
      <c r="B123" s="4">
        <f>VLOOKUP(Vlookup!B88,'CDCM Forecast Data'!$A$14:$I$271,6,FALSE)</f>
        <v>0.77193739705983777</v>
      </c>
      <c r="C123" s="4">
        <f>VLOOKUP(Vlookup!C88,'CDCM Forecast Data'!$A$14:$I$271,6,FALSE)</f>
        <v>0.54202643928388716</v>
      </c>
      <c r="D123" s="10" t="s">
        <v>262</v>
      </c>
      <c r="E123"/>
      <c r="F123"/>
      <c r="G123"/>
      <c r="H123"/>
      <c r="I123"/>
      <c r="J123"/>
      <c r="K123"/>
    </row>
    <row r="124" spans="1:11" ht="15">
      <c r="A124" s="11" t="s">
        <v>110</v>
      </c>
      <c r="B124" s="4">
        <f>VLOOKUP(Vlookup!B89,'CDCM Forecast Data'!$A$14:$I$271,6,FALSE)</f>
        <v>0.5147350712369958</v>
      </c>
      <c r="C124" s="4">
        <f>VLOOKUP(Vlookup!C89,'CDCM Forecast Data'!$A$14:$I$271,6,FALSE)</f>
        <v>0.37297691878220807</v>
      </c>
      <c r="D124" s="10" t="s">
        <v>262</v>
      </c>
      <c r="E124"/>
      <c r="F124"/>
      <c r="G124"/>
      <c r="H124"/>
      <c r="I124"/>
      <c r="J124"/>
      <c r="K124"/>
    </row>
    <row r="125" spans="1:11" ht="15">
      <c r="A125" s="11" t="s">
        <v>1647</v>
      </c>
      <c r="B125" s="4">
        <f>VLOOKUP(Vlookup!B90,'CDCM Forecast Data'!$A$14:$I$271,6,FALSE)</f>
        <v>0.82538148778829346</v>
      </c>
      <c r="C125" s="4">
        <f>VLOOKUP(Vlookup!C90,'CDCM Forecast Data'!$A$14:$I$271,6,FALSE)</f>
        <v>0.42910585224417291</v>
      </c>
      <c r="D125" s="10" t="s">
        <v>262</v>
      </c>
      <c r="E125"/>
      <c r="F125"/>
      <c r="G125"/>
      <c r="H125"/>
      <c r="I125"/>
      <c r="J125"/>
      <c r="K125"/>
    </row>
    <row r="126" spans="1:11" ht="15">
      <c r="A126" s="11" t="s">
        <v>1646</v>
      </c>
      <c r="B126" s="4">
        <f>VLOOKUP(Vlookup!B91,'CDCM Forecast Data'!$A$14:$I$271,6,FALSE)</f>
        <v>0.64712654999949026</v>
      </c>
      <c r="C126" s="4">
        <f>VLOOKUP(Vlookup!C91,'CDCM Forecast Data'!$A$14:$I$271,6,FALSE)</f>
        <v>0.43505682103944454</v>
      </c>
      <c r="D126" s="10" t="s">
        <v>262</v>
      </c>
      <c r="E126"/>
      <c r="F126"/>
      <c r="G126"/>
      <c r="H126"/>
      <c r="I126"/>
      <c r="J126"/>
      <c r="K126"/>
    </row>
    <row r="127" spans="1:11" ht="15">
      <c r="A127" s="11" t="s">
        <v>98</v>
      </c>
      <c r="B127" s="4">
        <f>VLOOKUP(Vlookup!B92,'CDCM Forecast Data'!$A$14:$I$271,6,FALSE)</f>
        <v>0.76513583991019607</v>
      </c>
      <c r="C127" s="4">
        <f>VLOOKUP(Vlookup!C92,'CDCM Forecast Data'!$A$14:$I$271,6,FALSE)</f>
        <v>0.58780986597120821</v>
      </c>
      <c r="D127" s="10" t="s">
        <v>262</v>
      </c>
      <c r="E127"/>
      <c r="F127"/>
      <c r="G127"/>
      <c r="H127"/>
      <c r="I127"/>
      <c r="J127"/>
      <c r="K127"/>
    </row>
    <row r="128" spans="1:11" ht="15">
      <c r="A128" s="11" t="s">
        <v>99</v>
      </c>
      <c r="B128" s="4">
        <f>VLOOKUP(Vlookup!B93,'CDCM Forecast Data'!$A$14:$I$271,6,FALSE)</f>
        <v>0.76513583991019607</v>
      </c>
      <c r="C128" s="4">
        <f>VLOOKUP(Vlookup!C93,'CDCM Forecast Data'!$A$14:$I$271,6,FALSE)</f>
        <v>0.58780986597120821</v>
      </c>
      <c r="D128" s="10"/>
      <c r="E128"/>
      <c r="F128"/>
      <c r="G128"/>
      <c r="H128"/>
      <c r="I128"/>
      <c r="J128"/>
      <c r="K128"/>
    </row>
    <row r="129" spans="1:11" ht="15">
      <c r="A129" s="11" t="s">
        <v>111</v>
      </c>
      <c r="B129" s="4">
        <f>VLOOKUP(Vlookup!B94,'CDCM Forecast Data'!$A$14:$I$271,6,FALSE)</f>
        <v>0.85096169090232854</v>
      </c>
      <c r="C129" s="4">
        <f>VLOOKUP(Vlookup!C94,'CDCM Forecast Data'!$A$14:$I$271,6,FALSE)</f>
        <v>0.73762935772845595</v>
      </c>
      <c r="D129" s="10"/>
      <c r="E129"/>
      <c r="F129"/>
      <c r="G129"/>
      <c r="H129"/>
      <c r="I129"/>
      <c r="J129"/>
      <c r="K129"/>
    </row>
    <row r="130" spans="1:11" ht="15">
      <c r="A130" s="11" t="s">
        <v>131</v>
      </c>
      <c r="B130" s="4">
        <f>VLOOKUP(Vlookup!B95,'CDCM Forecast Data'!$A$14:$I$271,6,FALSE)</f>
        <v>1</v>
      </c>
      <c r="C130" s="4">
        <f>VLOOKUP(Vlookup!C95,'CDCM Forecast Data'!$A$14:$I$271,6,FALSE)</f>
        <v>1</v>
      </c>
      <c r="D130" s="10" t="s">
        <v>262</v>
      </c>
      <c r="E130"/>
      <c r="F130"/>
      <c r="G130"/>
      <c r="H130"/>
      <c r="I130"/>
      <c r="J130"/>
      <c r="K130"/>
    </row>
    <row r="131" spans="1:11" ht="15">
      <c r="A131" s="11" t="s">
        <v>132</v>
      </c>
      <c r="B131" s="4">
        <f>VLOOKUP(Vlookup!B96,'CDCM Forecast Data'!$A$14:$I$271,6,FALSE)</f>
        <v>0.99388353345735381</v>
      </c>
      <c r="C131" s="4">
        <f>VLOOKUP(Vlookup!C96,'CDCM Forecast Data'!$A$14:$I$271,6,FALSE)</f>
        <v>0.47309957267296898</v>
      </c>
      <c r="D131" s="10"/>
      <c r="E131"/>
      <c r="F131"/>
      <c r="G131"/>
      <c r="H131"/>
      <c r="I131"/>
      <c r="J131"/>
      <c r="K131"/>
    </row>
    <row r="132" spans="1:11" ht="15">
      <c r="A132" s="11" t="s">
        <v>133</v>
      </c>
      <c r="B132" s="4">
        <f>VLOOKUP(Vlookup!B97,'CDCM Forecast Data'!$A$14:$I$271,6,FALSE)</f>
        <v>0.75050100200400804</v>
      </c>
      <c r="C132" s="4">
        <f>VLOOKUP(Vlookup!C97,'CDCM Forecast Data'!$A$14:$I$271,6,FALSE)</f>
        <v>0.24527046603861322</v>
      </c>
      <c r="D132" s="10"/>
      <c r="E132"/>
      <c r="F132"/>
      <c r="G132"/>
      <c r="H132"/>
      <c r="I132"/>
      <c r="J132"/>
      <c r="K132"/>
    </row>
    <row r="133" spans="1:11" ht="15">
      <c r="A133" s="11" t="s">
        <v>134</v>
      </c>
      <c r="B133" s="4">
        <f>VLOOKUP(Vlookup!B98,'CDCM Forecast Data'!$A$14:$I$271,6,FALSE)</f>
        <v>0</v>
      </c>
      <c r="C133" s="4">
        <f>VLOOKUP(Vlookup!C98,'CDCM Forecast Data'!$A$14:$I$271,6,FALSE)</f>
        <v>0.51417471713179308</v>
      </c>
      <c r="D133" s="10"/>
      <c r="E133"/>
      <c r="F133"/>
      <c r="G133"/>
      <c r="H133"/>
      <c r="I133"/>
      <c r="J133"/>
      <c r="K133"/>
    </row>
    <row r="134" spans="1:11" ht="15">
      <c r="A134" s="11" t="s">
        <v>135</v>
      </c>
      <c r="B134" s="4">
        <f>VLOOKUP(Vlookup!B99,'CDCM Forecast Data'!$A$14:$I$271,6,FALSE)</f>
        <v>0.97898179724204526</v>
      </c>
      <c r="C134" s="4">
        <f>VLOOKUP(Vlookup!C99,'CDCM Forecast Data'!$A$14:$I$271,6,FALSE)</f>
        <v>0.47429529311509694</v>
      </c>
      <c r="D134" s="10"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16</v>
      </c>
      <c r="C137">
        <v>17</v>
      </c>
      <c r="D137">
        <v>18</v>
      </c>
      <c r="E137">
        <v>19</v>
      </c>
      <c r="F137">
        <v>20</v>
      </c>
      <c r="G137">
        <v>21</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7" t="s">
        <v>146</v>
      </c>
      <c r="B142" s="18">
        <f>VLOOKUP(Vlookup!$B107,'CDCM Volume Forecasts'!$A$27:$AG$123,B$137,FALSE)</f>
        <v>0</v>
      </c>
      <c r="C142" s="18">
        <f>VLOOKUP(Vlookup!$B107,'CDCM Volume Forecasts'!$A$27:$AG$123,C$137,FALSE)</f>
        <v>0</v>
      </c>
      <c r="D142" s="18">
        <f>VLOOKUP(Vlookup!$B107,'CDCM Volume Forecasts'!$A$27:$AG$123,D$137,FALSE)</f>
        <v>0</v>
      </c>
      <c r="E142" s="18">
        <f>VLOOKUP(Vlookup!$B107,'CDCM Volume Forecasts'!$A$27:$AG$123,E$137,FALSE)</f>
        <v>0</v>
      </c>
      <c r="F142" s="18">
        <f>VLOOKUP(Vlookup!$B107,'CDCM Volume Forecasts'!$A$27:$AG$123,F$137,FALSE)</f>
        <v>0</v>
      </c>
      <c r="G142" s="18">
        <f>VLOOKUP(Vlookup!$B107,'CDCM Volume Forecasts'!$A$27:$AG$123,G$137,FALSE)</f>
        <v>0</v>
      </c>
      <c r="H142" s="10"/>
      <c r="I142"/>
      <c r="J142"/>
      <c r="K142"/>
    </row>
    <row r="143" spans="1:11" ht="15">
      <c r="A143" s="11" t="s">
        <v>92</v>
      </c>
      <c r="B143" s="4">
        <f>VLOOKUP(Vlookup!$B108,'CDCM Volume Forecasts'!$A$27:$AG$123,B$137,FALSE)</f>
        <v>3242264.655750392</v>
      </c>
      <c r="C143" s="8">
        <f>VLOOKUP(Vlookup!$B108,'CDCM Volume Forecasts'!$A$27:$AG$123,C$137,FALSE)</f>
        <v>0</v>
      </c>
      <c r="D143" s="8">
        <f>VLOOKUP(Vlookup!$B108,'CDCM Volume Forecasts'!$A$27:$AG$123,D$137,FALSE)</f>
        <v>0</v>
      </c>
      <c r="E143" s="14">
        <f>VLOOKUP(Vlookup!$B108,'CDCM Volume Forecasts'!$A$27:$AG$123,E$137,FALSE)</f>
        <v>964740</v>
      </c>
      <c r="F143" s="8">
        <f>VLOOKUP(Vlookup!$B108,'CDCM Volume Forecasts'!$A$27:$AG$123,F$137,FALSE)</f>
        <v>0</v>
      </c>
      <c r="G143" s="8">
        <f>VLOOKUP(Vlookup!$B108,'CDCM Volume Forecasts'!$A$27:$AG$123,G$137,FALSE)</f>
        <v>0</v>
      </c>
      <c r="H143" s="10"/>
      <c r="I143"/>
      <c r="J143"/>
      <c r="K143"/>
    </row>
    <row r="144" spans="1:11" ht="15">
      <c r="A144" s="11" t="s">
        <v>147</v>
      </c>
      <c r="B144" s="4">
        <f>VLOOKUP(Vlookup!$B109,'CDCM Volume Forecasts'!$A$27:$AG$123,B$137,FALSE)</f>
        <v>2870.3349849031706</v>
      </c>
      <c r="C144" s="8">
        <f>VLOOKUP(Vlookup!$B109,'CDCM Volume Forecasts'!$A$27:$AG$123,C$137,FALSE)</f>
        <v>0</v>
      </c>
      <c r="D144" s="8">
        <f>VLOOKUP(Vlookup!$B109,'CDCM Volume Forecasts'!$A$27:$AG$123,D$137,FALSE)</f>
        <v>0</v>
      </c>
      <c r="E144" s="14">
        <f>VLOOKUP(Vlookup!$B109,'CDCM Volume Forecasts'!$A$27:$AG$123,E$137,FALSE)</f>
        <v>893</v>
      </c>
      <c r="F144" s="8">
        <f>VLOOKUP(Vlookup!$B109,'CDCM Volume Forecasts'!$A$27:$AG$123,F$137,FALSE)</f>
        <v>0</v>
      </c>
      <c r="G144" s="8">
        <f>VLOOKUP(Vlookup!$B109,'CDCM Volume Forecasts'!$A$27:$AG$123,G$137,FALSE)</f>
        <v>0</v>
      </c>
      <c r="H144" s="10"/>
      <c r="I144"/>
      <c r="J144"/>
      <c r="K144"/>
    </row>
    <row r="145" spans="1:11" ht="15">
      <c r="A145" s="11" t="s">
        <v>148</v>
      </c>
      <c r="B145" s="4">
        <f>VLOOKUP(Vlookup!$B110,'CDCM Volume Forecasts'!$A$27:$AG$123,B$137,FALSE)</f>
        <v>11376.82714716523</v>
      </c>
      <c r="C145" s="8">
        <f>VLOOKUP(Vlookup!$B110,'CDCM Volume Forecasts'!$A$27:$AG$123,C$137,FALSE)</f>
        <v>0</v>
      </c>
      <c r="D145" s="8">
        <f>VLOOKUP(Vlookup!$B110,'CDCM Volume Forecasts'!$A$27:$AG$123,D$137,FALSE)</f>
        <v>0</v>
      </c>
      <c r="E145" s="14">
        <f>VLOOKUP(Vlookup!$B110,'CDCM Volume Forecasts'!$A$27:$AG$123,E$137,FALSE)</f>
        <v>3843</v>
      </c>
      <c r="F145" s="8">
        <f>VLOOKUP(Vlookup!$B110,'CDCM Volume Forecasts'!$A$27:$AG$123,F$137,FALSE)</f>
        <v>0</v>
      </c>
      <c r="G145" s="8">
        <f>VLOOKUP(Vlookup!$B110,'CDCM Volume Forecasts'!$A$27:$AG$123,G$137,FALSE)</f>
        <v>0</v>
      </c>
      <c r="H145" s="10"/>
      <c r="I145"/>
      <c r="J145"/>
      <c r="K145"/>
    </row>
    <row r="146" spans="1:11" ht="15">
      <c r="A146" s="17" t="s">
        <v>149</v>
      </c>
      <c r="B146" s="18">
        <f>VLOOKUP(Vlookup!$B111,'CDCM Volume Forecasts'!$A$27:$AG$123,B$137,FALSE)</f>
        <v>0</v>
      </c>
      <c r="C146" s="18">
        <f>VLOOKUP(Vlookup!$B111,'CDCM Volume Forecasts'!$A$27:$AG$123,C$137,FALSE)</f>
        <v>0</v>
      </c>
      <c r="D146" s="18">
        <f>VLOOKUP(Vlookup!$B111,'CDCM Volume Forecasts'!$A$27:$AG$123,D$137,FALSE)</f>
        <v>0</v>
      </c>
      <c r="E146" s="18">
        <f>VLOOKUP(Vlookup!$B111,'CDCM Volume Forecasts'!$A$27:$AG$123,E$137,FALSE)</f>
        <v>0</v>
      </c>
      <c r="F146" s="18">
        <f>VLOOKUP(Vlookup!$B111,'CDCM Volume Forecasts'!$A$27:$AG$123,F$137,FALSE)</f>
        <v>0</v>
      </c>
      <c r="G146" s="18">
        <f>VLOOKUP(Vlookup!$B111,'CDCM Volume Forecasts'!$A$27:$AG$123,G$137,FALSE)</f>
        <v>0</v>
      </c>
      <c r="H146" s="10"/>
      <c r="I146"/>
      <c r="J146"/>
      <c r="K146"/>
    </row>
    <row r="147" spans="1:11" ht="15">
      <c r="A147" s="11" t="s">
        <v>93</v>
      </c>
      <c r="B147" s="4">
        <f>VLOOKUP(Vlookup!$B112,'CDCM Volume Forecasts'!$A$27:$AG$123,B$137,FALSE)</f>
        <v>174847.88943573163</v>
      </c>
      <c r="C147" s="4">
        <f>VLOOKUP(Vlookup!$B112,'CDCM Volume Forecasts'!$A$27:$AG$123,C$137,FALSE)</f>
        <v>180701.55632797108</v>
      </c>
      <c r="D147" s="8">
        <f>VLOOKUP(Vlookup!$B112,'CDCM Volume Forecasts'!$A$27:$AG$123,D$137,FALSE)</f>
        <v>0</v>
      </c>
      <c r="E147" s="14">
        <f>VLOOKUP(Vlookup!$B112,'CDCM Volume Forecasts'!$A$27:$AG$123,E$137,FALSE)</f>
        <v>58083</v>
      </c>
      <c r="F147" s="8">
        <f>VLOOKUP(Vlookup!$B112,'CDCM Volume Forecasts'!$A$27:$AG$123,F$137,FALSE)</f>
        <v>0</v>
      </c>
      <c r="G147" s="8">
        <f>VLOOKUP(Vlookup!$B112,'CDCM Volume Forecasts'!$A$27:$AG$123,G$137,FALSE)</f>
        <v>0</v>
      </c>
      <c r="H147" s="10"/>
      <c r="I147"/>
      <c r="J147"/>
      <c r="K147"/>
    </row>
    <row r="148" spans="1:11" ht="15">
      <c r="A148" s="11" t="s">
        <v>150</v>
      </c>
      <c r="B148" s="4">
        <f>VLOOKUP(Vlookup!$B113,'CDCM Volume Forecasts'!$A$27:$AG$123,B$137,FALSE)</f>
        <v>262.98719224025433</v>
      </c>
      <c r="C148" s="4">
        <f>VLOOKUP(Vlookup!$B113,'CDCM Volume Forecasts'!$A$27:$AG$123,C$137,FALSE)</f>
        <v>6585.6695296550351</v>
      </c>
      <c r="D148" s="8">
        <f>VLOOKUP(Vlookup!$B113,'CDCM Volume Forecasts'!$A$27:$AG$123,D$137,FALSE)</f>
        <v>0</v>
      </c>
      <c r="E148" s="14">
        <f>VLOOKUP(Vlookup!$B113,'CDCM Volume Forecasts'!$A$27:$AG$123,E$137,FALSE)</f>
        <v>21</v>
      </c>
      <c r="F148" s="8">
        <f>VLOOKUP(Vlookup!$B113,'CDCM Volume Forecasts'!$A$27:$AG$123,F$137,FALSE)</f>
        <v>0</v>
      </c>
      <c r="G148" s="8">
        <f>VLOOKUP(Vlookup!$B113,'CDCM Volume Forecasts'!$A$27:$AG$123,G$137,FALSE)</f>
        <v>0</v>
      </c>
      <c r="H148" s="10"/>
      <c r="I148"/>
      <c r="J148"/>
      <c r="K148"/>
    </row>
    <row r="149" spans="1:11" ht="15">
      <c r="A149" s="11" t="s">
        <v>151</v>
      </c>
      <c r="B149" s="4">
        <f>VLOOKUP(Vlookup!$B114,'CDCM Volume Forecasts'!$A$27:$AG$123,B$137,FALSE)</f>
        <v>256.3006220521292</v>
      </c>
      <c r="C149" s="4">
        <f>VLOOKUP(Vlookup!$B114,'CDCM Volume Forecasts'!$A$27:$AG$123,C$137,FALSE)</f>
        <v>349.8743055243375</v>
      </c>
      <c r="D149" s="8">
        <f>VLOOKUP(Vlookup!$B114,'CDCM Volume Forecasts'!$A$27:$AG$123,D$137,FALSE)</f>
        <v>0</v>
      </c>
      <c r="E149" s="14">
        <f>VLOOKUP(Vlookup!$B114,'CDCM Volume Forecasts'!$A$27:$AG$123,E$137,FALSE)</f>
        <v>80</v>
      </c>
      <c r="F149" s="8">
        <f>VLOOKUP(Vlookup!$B114,'CDCM Volume Forecasts'!$A$27:$AG$123,F$137,FALSE)</f>
        <v>0</v>
      </c>
      <c r="G149" s="8">
        <f>VLOOKUP(Vlookup!$B114,'CDCM Volume Forecasts'!$A$27:$AG$123,G$137,FALSE)</f>
        <v>0</v>
      </c>
      <c r="H149" s="10"/>
      <c r="I149"/>
      <c r="J149"/>
      <c r="K149"/>
    </row>
    <row r="150" spans="1:11" ht="15">
      <c r="A150" s="17" t="s">
        <v>152</v>
      </c>
      <c r="B150" s="18">
        <f>VLOOKUP(Vlookup!$B115,'CDCM Volume Forecasts'!$A$27:$AG$123,B$137,FALSE)</f>
        <v>0</v>
      </c>
      <c r="C150" s="18">
        <f>VLOOKUP(Vlookup!$B115,'CDCM Volume Forecasts'!$A$27:$AG$123,C$137,FALSE)</f>
        <v>0</v>
      </c>
      <c r="D150" s="18">
        <f>VLOOKUP(Vlookup!$B115,'CDCM Volume Forecasts'!$A$27:$AG$123,D$137,FALSE)</f>
        <v>0</v>
      </c>
      <c r="E150" s="18">
        <f>VLOOKUP(Vlookup!$B115,'CDCM Volume Forecasts'!$A$27:$AG$123,E$137,FALSE)</f>
        <v>0</v>
      </c>
      <c r="F150" s="18">
        <f>VLOOKUP(Vlookup!$B115,'CDCM Volume Forecasts'!$A$27:$AG$123,F$137,FALSE)</f>
        <v>0</v>
      </c>
      <c r="G150" s="18">
        <f>VLOOKUP(Vlookup!$B115,'CDCM Volume Forecasts'!$A$27:$AG$123,G$137,FALSE)</f>
        <v>0</v>
      </c>
      <c r="H150" s="10"/>
      <c r="I150"/>
      <c r="J150"/>
      <c r="K150"/>
    </row>
    <row r="151" spans="1:11" ht="15">
      <c r="A151" s="11" t="s">
        <v>129</v>
      </c>
      <c r="B151" s="4">
        <f>VLOOKUP(Vlookup!$B116,'CDCM Volume Forecasts'!$A$27:$AG$123,B$137,FALSE)</f>
        <v>3613.1440975729997</v>
      </c>
      <c r="C151" s="8">
        <f>VLOOKUP(Vlookup!$B116,'CDCM Volume Forecasts'!$A$27:$AG$123,C$137,FALSE)</f>
        <v>0</v>
      </c>
      <c r="D151" s="8">
        <f>VLOOKUP(Vlookup!$B116,'CDCM Volume Forecasts'!$A$27:$AG$123,D$137,FALSE)</f>
        <v>0</v>
      </c>
      <c r="E151" s="14">
        <f>VLOOKUP(Vlookup!$B116,'CDCM Volume Forecasts'!$A$27:$AG$123,E$137,FALSE)</f>
        <v>0</v>
      </c>
      <c r="F151" s="8">
        <f>VLOOKUP(Vlookup!$B116,'CDCM Volume Forecasts'!$A$27:$AG$123,F$137,FALSE)</f>
        <v>0</v>
      </c>
      <c r="G151" s="8">
        <f>VLOOKUP(Vlookup!$B116,'CDCM Volume Forecasts'!$A$27:$AG$123,G$137,FALSE)</f>
        <v>0</v>
      </c>
      <c r="H151" s="10"/>
      <c r="I151"/>
      <c r="J151"/>
      <c r="K151"/>
    </row>
    <row r="152" spans="1:11" ht="15">
      <c r="A152" s="11" t="s">
        <v>153</v>
      </c>
      <c r="B152" s="4">
        <f>VLOOKUP(Vlookup!$B117,'CDCM Volume Forecasts'!$A$27:$AG$123,B$137,FALSE)</f>
        <v>0</v>
      </c>
      <c r="C152" s="8">
        <f>VLOOKUP(Vlookup!$B117,'CDCM Volume Forecasts'!$A$27:$AG$123,C$137,FALSE)</f>
        <v>0</v>
      </c>
      <c r="D152" s="8">
        <f>VLOOKUP(Vlookup!$B117,'CDCM Volume Forecasts'!$A$27:$AG$123,D$137,FALSE)</f>
        <v>0</v>
      </c>
      <c r="E152" s="14">
        <f>VLOOKUP(Vlookup!$B117,'CDCM Volume Forecasts'!$A$27:$AG$123,E$137,FALSE)</f>
        <v>0</v>
      </c>
      <c r="F152" s="8">
        <f>VLOOKUP(Vlookup!$B117,'CDCM Volume Forecasts'!$A$27:$AG$123,F$137,FALSE)</f>
        <v>0</v>
      </c>
      <c r="G152" s="8">
        <f>VLOOKUP(Vlookup!$B117,'CDCM Volume Forecasts'!$A$27:$AG$123,G$137,FALSE)</f>
        <v>0</v>
      </c>
      <c r="H152" s="10"/>
      <c r="I152"/>
      <c r="J152"/>
      <c r="K152"/>
    </row>
    <row r="153" spans="1:11" ht="15">
      <c r="A153" s="11" t="s">
        <v>154</v>
      </c>
      <c r="B153" s="4">
        <f>VLOOKUP(Vlookup!$B118,'CDCM Volume Forecasts'!$A$27:$AG$123,B$137,FALSE)</f>
        <v>0</v>
      </c>
      <c r="C153" s="8">
        <f>VLOOKUP(Vlookup!$B118,'CDCM Volume Forecasts'!$A$27:$AG$123,C$137,FALSE)</f>
        <v>0</v>
      </c>
      <c r="D153" s="8">
        <f>VLOOKUP(Vlookup!$B118,'CDCM Volume Forecasts'!$A$27:$AG$123,D$137,FALSE)</f>
        <v>0</v>
      </c>
      <c r="E153" s="14">
        <f>VLOOKUP(Vlookup!$B118,'CDCM Volume Forecasts'!$A$27:$AG$123,E$137,FALSE)</f>
        <v>0</v>
      </c>
      <c r="F153" s="8">
        <f>VLOOKUP(Vlookup!$B118,'CDCM Volume Forecasts'!$A$27:$AG$123,F$137,FALSE)</f>
        <v>0</v>
      </c>
      <c r="G153" s="8">
        <f>VLOOKUP(Vlookup!$B118,'CDCM Volume Forecasts'!$A$27:$AG$123,G$137,FALSE)</f>
        <v>0</v>
      </c>
      <c r="H153" s="10"/>
      <c r="I153"/>
      <c r="J153"/>
      <c r="K153"/>
    </row>
    <row r="154" spans="1:11" ht="15">
      <c r="A154" s="17" t="s">
        <v>155</v>
      </c>
      <c r="B154" s="18">
        <f>VLOOKUP(Vlookup!$B119,'CDCM Volume Forecasts'!$A$27:$AG$123,B$137,FALSE)</f>
        <v>0</v>
      </c>
      <c r="C154" s="18">
        <f>VLOOKUP(Vlookup!$B119,'CDCM Volume Forecasts'!$A$27:$AG$123,C$137,FALSE)</f>
        <v>0</v>
      </c>
      <c r="D154" s="18">
        <f>VLOOKUP(Vlookup!$B119,'CDCM Volume Forecasts'!$A$27:$AG$123,D$137,FALSE)</f>
        <v>0</v>
      </c>
      <c r="E154" s="18">
        <f>VLOOKUP(Vlookup!$B119,'CDCM Volume Forecasts'!$A$27:$AG$123,E$137,FALSE)</f>
        <v>0</v>
      </c>
      <c r="F154" s="18">
        <f>VLOOKUP(Vlookup!$B119,'CDCM Volume Forecasts'!$A$27:$AG$123,F$137,FALSE)</f>
        <v>0</v>
      </c>
      <c r="G154" s="18">
        <f>VLOOKUP(Vlookup!$B119,'CDCM Volume Forecasts'!$A$27:$AG$123,G$137,FALSE)</f>
        <v>0</v>
      </c>
      <c r="H154" s="10"/>
      <c r="I154"/>
      <c r="J154"/>
      <c r="K154"/>
    </row>
    <row r="155" spans="1:11" ht="15">
      <c r="A155" s="11" t="s">
        <v>94</v>
      </c>
      <c r="B155" s="4">
        <f>VLOOKUP(Vlookup!$B120,'CDCM Volume Forecasts'!$A$27:$AG$123,B$137,FALSE)</f>
        <v>823197.95863007847</v>
      </c>
      <c r="C155" s="8">
        <f>VLOOKUP(Vlookup!$B120,'CDCM Volume Forecasts'!$A$27:$AG$123,C$137,FALSE)</f>
        <v>0</v>
      </c>
      <c r="D155" s="8">
        <f>VLOOKUP(Vlookup!$B120,'CDCM Volume Forecasts'!$A$27:$AG$123,D$137,FALSE)</f>
        <v>0</v>
      </c>
      <c r="E155" s="14">
        <f>VLOOKUP(Vlookup!$B120,'CDCM Volume Forecasts'!$A$27:$AG$123,E$137,FALSE)</f>
        <v>63787</v>
      </c>
      <c r="F155" s="8">
        <f>VLOOKUP(Vlookup!$B120,'CDCM Volume Forecasts'!$A$27:$AG$123,F$137,FALSE)</f>
        <v>0</v>
      </c>
      <c r="G155" s="8">
        <f>VLOOKUP(Vlookup!$B120,'CDCM Volume Forecasts'!$A$27:$AG$123,G$137,FALSE)</f>
        <v>0</v>
      </c>
      <c r="H155" s="10"/>
      <c r="I155"/>
      <c r="J155"/>
      <c r="K155"/>
    </row>
    <row r="156" spans="1:11" ht="15">
      <c r="A156" s="11" t="s">
        <v>156</v>
      </c>
      <c r="B156" s="4">
        <f>VLOOKUP(Vlookup!$B121,'CDCM Volume Forecasts'!$A$27:$AG$123,B$137,FALSE)</f>
        <v>56.743614639178105</v>
      </c>
      <c r="C156" s="8">
        <f>VLOOKUP(Vlookup!$B121,'CDCM Volume Forecasts'!$A$27:$AG$123,C$137,FALSE)</f>
        <v>0</v>
      </c>
      <c r="D156" s="8">
        <f>VLOOKUP(Vlookup!$B121,'CDCM Volume Forecasts'!$A$27:$AG$123,D$137,FALSE)</f>
        <v>0</v>
      </c>
      <c r="E156" s="14">
        <f>VLOOKUP(Vlookup!$B121,'CDCM Volume Forecasts'!$A$27:$AG$123,E$137,FALSE)</f>
        <v>4</v>
      </c>
      <c r="F156" s="8">
        <f>VLOOKUP(Vlookup!$B121,'CDCM Volume Forecasts'!$A$27:$AG$123,F$137,FALSE)</f>
        <v>0</v>
      </c>
      <c r="G156" s="8">
        <f>VLOOKUP(Vlookup!$B121,'CDCM Volume Forecasts'!$A$27:$AG$123,G$137,FALSE)</f>
        <v>0</v>
      </c>
      <c r="H156" s="10"/>
      <c r="I156"/>
      <c r="J156"/>
      <c r="K156"/>
    </row>
    <row r="157" spans="1:11" ht="15">
      <c r="A157" s="11" t="s">
        <v>157</v>
      </c>
      <c r="B157" s="4">
        <f>VLOOKUP(Vlookup!$B122,'CDCM Volume Forecasts'!$A$27:$AG$123,B$137,FALSE)</f>
        <v>2717.0896874333912</v>
      </c>
      <c r="C157" s="8">
        <f>VLOOKUP(Vlookup!$B122,'CDCM Volume Forecasts'!$A$27:$AG$123,C$137,FALSE)</f>
        <v>0</v>
      </c>
      <c r="D157" s="8">
        <f>VLOOKUP(Vlookup!$B122,'CDCM Volume Forecasts'!$A$27:$AG$123,D$137,FALSE)</f>
        <v>0</v>
      </c>
      <c r="E157" s="14">
        <f>VLOOKUP(Vlookup!$B122,'CDCM Volume Forecasts'!$A$27:$AG$123,E$137,FALSE)</f>
        <v>110</v>
      </c>
      <c r="F157" s="8">
        <f>VLOOKUP(Vlookup!$B122,'CDCM Volume Forecasts'!$A$27:$AG$123,F$137,FALSE)</f>
        <v>0</v>
      </c>
      <c r="G157" s="8">
        <f>VLOOKUP(Vlookup!$B122,'CDCM Volume Forecasts'!$A$27:$AG$123,G$137,FALSE)</f>
        <v>0</v>
      </c>
      <c r="H157" s="10"/>
      <c r="I157"/>
      <c r="J157"/>
      <c r="K157"/>
    </row>
    <row r="158" spans="1:11" ht="15">
      <c r="A158" s="17" t="s">
        <v>158</v>
      </c>
      <c r="B158" s="18">
        <f>VLOOKUP(Vlookup!$B123,'CDCM Volume Forecasts'!$A$27:$AG$123,B$137,FALSE)</f>
        <v>0</v>
      </c>
      <c r="C158" s="18">
        <f>VLOOKUP(Vlookup!$B123,'CDCM Volume Forecasts'!$A$27:$AG$123,C$137,FALSE)</f>
        <v>0</v>
      </c>
      <c r="D158" s="18">
        <f>VLOOKUP(Vlookup!$B123,'CDCM Volume Forecasts'!$A$27:$AG$123,D$137,FALSE)</f>
        <v>0</v>
      </c>
      <c r="E158" s="18">
        <f>VLOOKUP(Vlookup!$B123,'CDCM Volume Forecasts'!$A$27:$AG$123,E$137,FALSE)</f>
        <v>0</v>
      </c>
      <c r="F158" s="18">
        <f>VLOOKUP(Vlookup!$B123,'CDCM Volume Forecasts'!$A$27:$AG$123,F$137,FALSE)</f>
        <v>0</v>
      </c>
      <c r="G158" s="18">
        <f>VLOOKUP(Vlookup!$B123,'CDCM Volume Forecasts'!$A$27:$AG$123,G$137,FALSE)</f>
        <v>0</v>
      </c>
      <c r="H158" s="10"/>
      <c r="I158"/>
      <c r="J158"/>
      <c r="K158"/>
    </row>
    <row r="159" spans="1:11" ht="15">
      <c r="A159" s="11" t="s">
        <v>95</v>
      </c>
      <c r="B159" s="4">
        <f>VLOOKUP(Vlookup!$B124,'CDCM Volume Forecasts'!$A$27:$AG$123,B$137,FALSE)</f>
        <v>206801.40932707267</v>
      </c>
      <c r="C159" s="4">
        <f>VLOOKUP(Vlookup!$B124,'CDCM Volume Forecasts'!$A$27:$AG$123,C$137,FALSE)</f>
        <v>92825.537560705707</v>
      </c>
      <c r="D159" s="8">
        <f>VLOOKUP(Vlookup!$B124,'CDCM Volume Forecasts'!$A$27:$AG$123,D$137,FALSE)</f>
        <v>0</v>
      </c>
      <c r="E159" s="14">
        <f>VLOOKUP(Vlookup!$B124,'CDCM Volume Forecasts'!$A$27:$AG$123,E$137,FALSE)</f>
        <v>13441</v>
      </c>
      <c r="F159" s="8">
        <f>VLOOKUP(Vlookup!$B124,'CDCM Volume Forecasts'!$A$27:$AG$123,F$137,FALSE)</f>
        <v>0</v>
      </c>
      <c r="G159" s="8">
        <f>VLOOKUP(Vlookup!$B124,'CDCM Volume Forecasts'!$A$27:$AG$123,G$137,FALSE)</f>
        <v>0</v>
      </c>
      <c r="H159" s="10"/>
      <c r="I159"/>
      <c r="J159"/>
      <c r="K159"/>
    </row>
    <row r="160" spans="1:11" ht="15">
      <c r="A160" s="11" t="s">
        <v>159</v>
      </c>
      <c r="B160" s="4">
        <f>VLOOKUP(Vlookup!$B125,'CDCM Volume Forecasts'!$A$27:$AG$123,B$137,FALSE)</f>
        <v>0</v>
      </c>
      <c r="C160" s="4">
        <f>VLOOKUP(Vlookup!$B125,'CDCM Volume Forecasts'!$A$27:$AG$123,C$137,FALSE)</f>
        <v>0</v>
      </c>
      <c r="D160" s="8">
        <f>VLOOKUP(Vlookup!$B125,'CDCM Volume Forecasts'!$A$27:$AG$123,D$137,FALSE)</f>
        <v>0</v>
      </c>
      <c r="E160" s="14">
        <f>VLOOKUP(Vlookup!$B125,'CDCM Volume Forecasts'!$A$27:$AG$123,E$137,FALSE)</f>
        <v>0</v>
      </c>
      <c r="F160" s="8">
        <f>VLOOKUP(Vlookup!$B125,'CDCM Volume Forecasts'!$A$27:$AG$123,F$137,FALSE)</f>
        <v>0</v>
      </c>
      <c r="G160" s="8">
        <f>VLOOKUP(Vlookup!$B125,'CDCM Volume Forecasts'!$A$27:$AG$123,G$137,FALSE)</f>
        <v>0</v>
      </c>
      <c r="H160" s="10"/>
      <c r="I160"/>
      <c r="J160"/>
      <c r="K160"/>
    </row>
    <row r="161" spans="1:11" ht="15">
      <c r="A161" s="11" t="s">
        <v>160</v>
      </c>
      <c r="B161" s="4">
        <f>VLOOKUP(Vlookup!$B126,'CDCM Volume Forecasts'!$A$27:$AG$123,B$137,FALSE)</f>
        <v>845.42130757211385</v>
      </c>
      <c r="C161" s="4">
        <f>VLOOKUP(Vlookup!$B126,'CDCM Volume Forecasts'!$A$27:$AG$123,C$137,FALSE)</f>
        <v>110.3044954465786</v>
      </c>
      <c r="D161" s="8">
        <f>VLOOKUP(Vlookup!$B126,'CDCM Volume Forecasts'!$A$27:$AG$123,D$137,FALSE)</f>
        <v>0</v>
      </c>
      <c r="E161" s="14">
        <f>VLOOKUP(Vlookup!$B126,'CDCM Volume Forecasts'!$A$27:$AG$123,E$137,FALSE)</f>
        <v>9</v>
      </c>
      <c r="F161" s="8">
        <f>VLOOKUP(Vlookup!$B126,'CDCM Volume Forecasts'!$A$27:$AG$123,F$137,FALSE)</f>
        <v>0</v>
      </c>
      <c r="G161" s="8">
        <f>VLOOKUP(Vlookup!$B126,'CDCM Volume Forecasts'!$A$27:$AG$123,G$137,FALSE)</f>
        <v>0</v>
      </c>
      <c r="H161" s="10"/>
      <c r="I161"/>
      <c r="J161"/>
      <c r="K161"/>
    </row>
    <row r="162" spans="1:11" ht="15">
      <c r="A162" s="17" t="s">
        <v>161</v>
      </c>
      <c r="B162" s="18">
        <f>VLOOKUP(Vlookup!$B127,'CDCM Volume Forecasts'!$A$27:$AG$123,B$137,FALSE)</f>
        <v>0</v>
      </c>
      <c r="C162" s="18">
        <f>VLOOKUP(Vlookup!$B127,'CDCM Volume Forecasts'!$A$27:$AG$123,C$137,FALSE)</f>
        <v>0</v>
      </c>
      <c r="D162" s="18">
        <f>VLOOKUP(Vlookup!$B127,'CDCM Volume Forecasts'!$A$27:$AG$123,D$137,FALSE)</f>
        <v>0</v>
      </c>
      <c r="E162" s="18">
        <f>VLOOKUP(Vlookup!$B127,'CDCM Volume Forecasts'!$A$27:$AG$123,E$137,FALSE)</f>
        <v>0</v>
      </c>
      <c r="F162" s="18">
        <f>VLOOKUP(Vlookup!$B127,'CDCM Volume Forecasts'!$A$27:$AG$123,F$137,FALSE)</f>
        <v>0</v>
      </c>
      <c r="G162" s="18">
        <f>VLOOKUP(Vlookup!$B127,'CDCM Volume Forecasts'!$A$27:$AG$123,G$137,FALSE)</f>
        <v>0</v>
      </c>
      <c r="H162" s="10"/>
      <c r="I162"/>
      <c r="J162"/>
      <c r="K162"/>
    </row>
    <row r="163" spans="1:11" ht="15">
      <c r="A163" s="11" t="s">
        <v>130</v>
      </c>
      <c r="B163" s="4">
        <f>VLOOKUP(Vlookup!$B128,'CDCM Volume Forecasts'!$A$27:$AG$123,B$137,FALSE)</f>
        <v>2262.2093594051807</v>
      </c>
      <c r="C163" s="8">
        <f>VLOOKUP(Vlookup!$B128,'CDCM Volume Forecasts'!$A$27:$AG$123,C$137,FALSE)</f>
        <v>0</v>
      </c>
      <c r="D163" s="8">
        <f>VLOOKUP(Vlookup!$B128,'CDCM Volume Forecasts'!$A$27:$AG$123,D$137,FALSE)</f>
        <v>0</v>
      </c>
      <c r="E163" s="14">
        <f>VLOOKUP(Vlookup!$B128,'CDCM Volume Forecasts'!$A$27:$AG$123,E$137,FALSE)</f>
        <v>0</v>
      </c>
      <c r="F163" s="8">
        <f>VLOOKUP(Vlookup!$B128,'CDCM Volume Forecasts'!$A$27:$AG$123,F$137,FALSE)</f>
        <v>0</v>
      </c>
      <c r="G163" s="8">
        <f>VLOOKUP(Vlookup!$B128,'CDCM Volume Forecasts'!$A$27:$AG$123,G$137,FALSE)</f>
        <v>0</v>
      </c>
      <c r="H163" s="10"/>
      <c r="I163"/>
      <c r="J163"/>
      <c r="K163"/>
    </row>
    <row r="164" spans="1:11" ht="30">
      <c r="A164" s="11" t="s">
        <v>162</v>
      </c>
      <c r="B164" s="4">
        <f>VLOOKUP(Vlookup!$B129,'CDCM Volume Forecasts'!$A$27:$AG$123,B$137,FALSE)</f>
        <v>0</v>
      </c>
      <c r="C164" s="8">
        <f>VLOOKUP(Vlookup!$B129,'CDCM Volume Forecasts'!$A$27:$AG$123,C$137,FALSE)</f>
        <v>0</v>
      </c>
      <c r="D164" s="8">
        <f>VLOOKUP(Vlookup!$B129,'CDCM Volume Forecasts'!$A$27:$AG$123,D$137,FALSE)</f>
        <v>0</v>
      </c>
      <c r="E164" s="14">
        <f>VLOOKUP(Vlookup!$B129,'CDCM Volume Forecasts'!$A$27:$AG$123,E$137,FALSE)</f>
        <v>0</v>
      </c>
      <c r="F164" s="8">
        <f>VLOOKUP(Vlookup!$B129,'CDCM Volume Forecasts'!$A$27:$AG$123,F$137,FALSE)</f>
        <v>0</v>
      </c>
      <c r="G164" s="8">
        <f>VLOOKUP(Vlookup!$B129,'CDCM Volume Forecasts'!$A$27:$AG$123,G$137,FALSE)</f>
        <v>0</v>
      </c>
      <c r="H164" s="10"/>
      <c r="I164"/>
      <c r="J164"/>
      <c r="K164"/>
    </row>
    <row r="165" spans="1:11" ht="30">
      <c r="A165" s="11" t="s">
        <v>163</v>
      </c>
      <c r="B165" s="4">
        <f>VLOOKUP(Vlookup!$B130,'CDCM Volume Forecasts'!$A$27:$AG$123,B$137,FALSE)</f>
        <v>0</v>
      </c>
      <c r="C165" s="8">
        <f>VLOOKUP(Vlookup!$B130,'CDCM Volume Forecasts'!$A$27:$AG$123,C$137,FALSE)</f>
        <v>0</v>
      </c>
      <c r="D165" s="8">
        <f>VLOOKUP(Vlookup!$B130,'CDCM Volume Forecasts'!$A$27:$AG$123,D$137,FALSE)</f>
        <v>0</v>
      </c>
      <c r="E165" s="14">
        <f>VLOOKUP(Vlookup!$B130,'CDCM Volume Forecasts'!$A$27:$AG$123,E$137,FALSE)</f>
        <v>0</v>
      </c>
      <c r="F165" s="8">
        <f>VLOOKUP(Vlookup!$B130,'CDCM Volume Forecasts'!$A$27:$AG$123,F$137,FALSE)</f>
        <v>0</v>
      </c>
      <c r="G165" s="8">
        <f>VLOOKUP(Vlookup!$B130,'CDCM Volume Forecasts'!$A$27:$AG$123,G$137,FALSE)</f>
        <v>0</v>
      </c>
      <c r="H165" s="10"/>
      <c r="I165"/>
      <c r="J165"/>
      <c r="K165"/>
    </row>
    <row r="166" spans="1:11" ht="15">
      <c r="A166" s="17" t="s">
        <v>164</v>
      </c>
      <c r="B166" s="18">
        <f>VLOOKUP(Vlookup!$B131,'CDCM Volume Forecasts'!$A$27:$AG$123,B$137,FALSE)</f>
        <v>0</v>
      </c>
      <c r="C166" s="18">
        <f>VLOOKUP(Vlookup!$B131,'CDCM Volume Forecasts'!$A$27:$AG$123,C$137,FALSE)</f>
        <v>0</v>
      </c>
      <c r="D166" s="18">
        <f>VLOOKUP(Vlookup!$B131,'CDCM Volume Forecasts'!$A$27:$AG$123,D$137,FALSE)</f>
        <v>0</v>
      </c>
      <c r="E166" s="18">
        <f>VLOOKUP(Vlookup!$B131,'CDCM Volume Forecasts'!$A$27:$AG$123,E$137,FALSE)</f>
        <v>0</v>
      </c>
      <c r="F166" s="18">
        <f>VLOOKUP(Vlookup!$B131,'CDCM Volume Forecasts'!$A$27:$AG$123,F$137,FALSE)</f>
        <v>0</v>
      </c>
      <c r="G166" s="18">
        <f>VLOOKUP(Vlookup!$B131,'CDCM Volume Forecasts'!$A$27:$AG$123,G$137,FALSE)</f>
        <v>0</v>
      </c>
      <c r="H166" s="10"/>
      <c r="I166"/>
      <c r="J166"/>
      <c r="K166"/>
    </row>
    <row r="167" spans="1:11" ht="15">
      <c r="A167" s="11" t="s">
        <v>96</v>
      </c>
      <c r="B167" s="4">
        <f>VLOOKUP(Vlookup!$B132,'CDCM Volume Forecasts'!$A$27:$AG$123,B$137,FALSE)</f>
        <v>379857.67107737559</v>
      </c>
      <c r="C167" s="4">
        <f>VLOOKUP(Vlookup!$B132,'CDCM Volume Forecasts'!$A$27:$AG$123,C$137,FALSE)</f>
        <v>99896.639824048034</v>
      </c>
      <c r="D167" s="8">
        <f>VLOOKUP(Vlookup!$B132,'CDCM Volume Forecasts'!$A$27:$AG$123,D$137,FALSE)</f>
        <v>0</v>
      </c>
      <c r="E167" s="14">
        <f>VLOOKUP(Vlookup!$B132,'CDCM Volume Forecasts'!$A$27:$AG$123,E$137,FALSE)</f>
        <v>4728</v>
      </c>
      <c r="F167" s="8">
        <f>VLOOKUP(Vlookup!$B132,'CDCM Volume Forecasts'!$A$27:$AG$123,F$137,FALSE)</f>
        <v>0</v>
      </c>
      <c r="G167" s="8">
        <f>VLOOKUP(Vlookup!$B132,'CDCM Volume Forecasts'!$A$27:$AG$123,G$137,FALSE)</f>
        <v>0</v>
      </c>
      <c r="H167" s="10"/>
      <c r="I167"/>
      <c r="J167"/>
      <c r="K167"/>
    </row>
    <row r="168" spans="1:11" ht="15">
      <c r="A168" s="11" t="s">
        <v>165</v>
      </c>
      <c r="B168" s="4">
        <f>VLOOKUP(Vlookup!$B133,'CDCM Volume Forecasts'!$A$27:$AG$123,B$137,FALSE)</f>
        <v>0</v>
      </c>
      <c r="C168" s="4">
        <f>VLOOKUP(Vlookup!$B133,'CDCM Volume Forecasts'!$A$27:$AG$123,C$137,FALSE)</f>
        <v>0</v>
      </c>
      <c r="D168" s="8">
        <f>VLOOKUP(Vlookup!$B133,'CDCM Volume Forecasts'!$A$27:$AG$123,D$137,FALSE)</f>
        <v>0</v>
      </c>
      <c r="E168" s="14">
        <f>VLOOKUP(Vlookup!$B133,'CDCM Volume Forecasts'!$A$27:$AG$123,E$137,FALSE)</f>
        <v>0</v>
      </c>
      <c r="F168" s="8">
        <f>VLOOKUP(Vlookup!$B133,'CDCM Volume Forecasts'!$A$27:$AG$123,F$137,FALSE)</f>
        <v>0</v>
      </c>
      <c r="G168" s="8">
        <f>VLOOKUP(Vlookup!$B133,'CDCM Volume Forecasts'!$A$27:$AG$123,G$137,FALSE)</f>
        <v>0</v>
      </c>
      <c r="H168" s="10"/>
      <c r="I168"/>
      <c r="J168"/>
      <c r="K168"/>
    </row>
    <row r="169" spans="1:11" ht="15">
      <c r="A169" s="11" t="s">
        <v>166</v>
      </c>
      <c r="B169" s="4">
        <f>VLOOKUP(Vlookup!$B134,'CDCM Volume Forecasts'!$A$27:$AG$123,B$137,FALSE)</f>
        <v>1094.445243350247</v>
      </c>
      <c r="C169" s="4">
        <f>VLOOKUP(Vlookup!$B134,'CDCM Volume Forecasts'!$A$27:$AG$123,C$137,FALSE)</f>
        <v>144.85382852920503</v>
      </c>
      <c r="D169" s="8">
        <f>VLOOKUP(Vlookup!$B134,'CDCM Volume Forecasts'!$A$27:$AG$123,D$137,FALSE)</f>
        <v>0</v>
      </c>
      <c r="E169" s="14">
        <f>VLOOKUP(Vlookup!$B134,'CDCM Volume Forecasts'!$A$27:$AG$123,E$137,FALSE)</f>
        <v>10</v>
      </c>
      <c r="F169" s="8">
        <f>VLOOKUP(Vlookup!$B134,'CDCM Volume Forecasts'!$A$27:$AG$123,F$137,FALSE)</f>
        <v>0</v>
      </c>
      <c r="G169" s="8">
        <f>VLOOKUP(Vlookup!$B134,'CDCM Volume Forecasts'!$A$27:$AG$123,G$137,FALSE)</f>
        <v>0</v>
      </c>
      <c r="H169" s="10"/>
      <c r="I169"/>
      <c r="J169"/>
      <c r="K169"/>
    </row>
    <row r="170" spans="1:11" ht="15">
      <c r="A170" s="17" t="s">
        <v>167</v>
      </c>
      <c r="B170" s="18">
        <f>VLOOKUP(Vlookup!$B135,'CDCM Volume Forecasts'!$A$27:$AG$123,B$137,FALSE)</f>
        <v>0</v>
      </c>
      <c r="C170" s="18">
        <f>VLOOKUP(Vlookup!$B135,'CDCM Volume Forecasts'!$A$27:$AG$123,C$137,FALSE)</f>
        <v>0</v>
      </c>
      <c r="D170" s="18">
        <f>VLOOKUP(Vlookup!$B135,'CDCM Volume Forecasts'!$A$27:$AG$123,D$137,FALSE)</f>
        <v>0</v>
      </c>
      <c r="E170" s="18">
        <f>VLOOKUP(Vlookup!$B135,'CDCM Volume Forecasts'!$A$27:$AG$123,E$137,FALSE)</f>
        <v>0</v>
      </c>
      <c r="F170" s="18">
        <f>VLOOKUP(Vlookup!$B135,'CDCM Volume Forecasts'!$A$27:$AG$123,F$137,FALSE)</f>
        <v>0</v>
      </c>
      <c r="G170" s="18">
        <f>VLOOKUP(Vlookup!$B135,'CDCM Volume Forecasts'!$A$27:$AG$123,G$137,FALSE)</f>
        <v>0</v>
      </c>
      <c r="H170" s="10"/>
      <c r="I170"/>
      <c r="J170"/>
      <c r="K170"/>
    </row>
    <row r="171" spans="1:11" ht="15">
      <c r="A171" s="11" t="s">
        <v>97</v>
      </c>
      <c r="B171" s="4">
        <f>VLOOKUP(Vlookup!$B136,'CDCM Volume Forecasts'!$A$27:$AG$123,B$137,FALSE)</f>
        <v>517.04045501631606</v>
      </c>
      <c r="C171" s="4">
        <f>VLOOKUP(Vlookup!$B136,'CDCM Volume Forecasts'!$A$27:$AG$123,C$137,FALSE)</f>
        <v>136.89783135294002</v>
      </c>
      <c r="D171" s="8">
        <f>VLOOKUP(Vlookup!$B136,'CDCM Volume Forecasts'!$A$27:$AG$123,D$137,FALSE)</f>
        <v>0</v>
      </c>
      <c r="E171" s="14">
        <f>VLOOKUP(Vlookup!$B136,'CDCM Volume Forecasts'!$A$27:$AG$123,E$137,FALSE)</f>
        <v>4</v>
      </c>
      <c r="F171" s="8">
        <f>VLOOKUP(Vlookup!$B136,'CDCM Volume Forecasts'!$A$27:$AG$123,F$137,FALSE)</f>
        <v>0</v>
      </c>
      <c r="G171" s="8">
        <f>VLOOKUP(Vlookup!$B136,'CDCM Volume Forecasts'!$A$27:$AG$123,G$137,FALSE)</f>
        <v>0</v>
      </c>
      <c r="H171" s="10"/>
      <c r="I171"/>
      <c r="J171"/>
      <c r="K171"/>
    </row>
    <row r="172" spans="1:11" ht="15">
      <c r="A172" s="17" t="s">
        <v>168</v>
      </c>
      <c r="B172" s="18">
        <f>VLOOKUP(Vlookup!$B137,'CDCM Volume Forecasts'!$A$27:$AG$123,B$137,FALSE)</f>
        <v>0</v>
      </c>
      <c r="C172" s="18">
        <f>VLOOKUP(Vlookup!$B137,'CDCM Volume Forecasts'!$A$27:$AG$123,C$137,FALSE)</f>
        <v>0</v>
      </c>
      <c r="D172" s="18">
        <f>VLOOKUP(Vlookup!$B137,'CDCM Volume Forecasts'!$A$27:$AG$123,D$137,FALSE)</f>
        <v>0</v>
      </c>
      <c r="E172" s="18">
        <f>VLOOKUP(Vlookup!$B137,'CDCM Volume Forecasts'!$A$27:$AG$123,E$137,FALSE)</f>
        <v>0</v>
      </c>
      <c r="F172" s="18">
        <f>VLOOKUP(Vlookup!$B137,'CDCM Volume Forecasts'!$A$27:$AG$123,F$137,FALSE)</f>
        <v>0</v>
      </c>
      <c r="G172" s="18">
        <f>VLOOKUP(Vlookup!$B137,'CDCM Volume Forecasts'!$A$27:$AG$123,G$137,FALSE)</f>
        <v>0</v>
      </c>
      <c r="H172" s="10"/>
      <c r="I172"/>
      <c r="J172"/>
      <c r="K172"/>
    </row>
    <row r="173" spans="1:11" ht="15">
      <c r="A173" s="11" t="s">
        <v>110</v>
      </c>
      <c r="B173" s="4">
        <f>VLOOKUP(Vlookup!$B138,'CDCM Volume Forecasts'!$A$27:$AG$123,B$137,FALSE)</f>
        <v>753.60754258070392</v>
      </c>
      <c r="C173" s="4">
        <f>VLOOKUP(Vlookup!$B138,'CDCM Volume Forecasts'!$A$27:$AG$123,C$137,FALSE)</f>
        <v>161.59553674706402</v>
      </c>
      <c r="D173" s="8">
        <f>VLOOKUP(Vlookup!$B138,'CDCM Volume Forecasts'!$A$27:$AG$123,D$137,FALSE)</f>
        <v>0</v>
      </c>
      <c r="E173" s="14">
        <f>VLOOKUP(Vlookup!$B138,'CDCM Volume Forecasts'!$A$27:$AG$123,E$137,FALSE)</f>
        <v>13</v>
      </c>
      <c r="F173" s="8">
        <f>VLOOKUP(Vlookup!$B138,'CDCM Volume Forecasts'!$A$27:$AG$123,F$137,FALSE)</f>
        <v>0</v>
      </c>
      <c r="G173" s="8">
        <f>VLOOKUP(Vlookup!$B138,'CDCM Volume Forecasts'!$A$27:$AG$123,G$137,FALSE)</f>
        <v>0</v>
      </c>
      <c r="H173" s="10"/>
      <c r="I173"/>
      <c r="J173"/>
      <c r="K173"/>
    </row>
    <row r="174" spans="1:11" ht="15">
      <c r="A174" s="17" t="s">
        <v>1650</v>
      </c>
      <c r="B174" s="18">
        <f>VLOOKUP(Vlookup!$B139,'CDCM Volume Forecasts'!$A$27:$AG$123,B$137,FALSE)</f>
        <v>0</v>
      </c>
      <c r="C174" s="18">
        <f>VLOOKUP(Vlookup!$B139,'CDCM Volume Forecasts'!$A$27:$AG$123,C$137,FALSE)</f>
        <v>0</v>
      </c>
      <c r="D174" s="18">
        <f>VLOOKUP(Vlookup!$B139,'CDCM Volume Forecasts'!$A$27:$AG$123,D$137,FALSE)</f>
        <v>0</v>
      </c>
      <c r="E174" s="18">
        <f>VLOOKUP(Vlookup!$B139,'CDCM Volume Forecasts'!$A$27:$AG$123,E$137,FALSE)</f>
        <v>0</v>
      </c>
      <c r="F174" s="18">
        <f>VLOOKUP(Vlookup!$B139,'CDCM Volume Forecasts'!$A$27:$AG$123,F$137,FALSE)</f>
        <v>0</v>
      </c>
      <c r="G174" s="18">
        <f>VLOOKUP(Vlookup!$B139,'CDCM Volume Forecasts'!$A$27:$AG$123,G$137,FALSE)</f>
        <v>0</v>
      </c>
      <c r="H174" s="10"/>
      <c r="I174"/>
      <c r="J174"/>
      <c r="K174"/>
    </row>
    <row r="175" spans="1:11" ht="15">
      <c r="A175" s="11" t="s">
        <v>1647</v>
      </c>
      <c r="B175" s="4">
        <f>VLOOKUP(Vlookup!$B140,'CDCM Volume Forecasts'!$A$27:$AG$123,B$137,FALSE)</f>
        <v>0</v>
      </c>
      <c r="C175" s="4">
        <f>VLOOKUP(Vlookup!$B140,'CDCM Volume Forecasts'!$A$27:$AG$123,C$137,FALSE)</f>
        <v>0</v>
      </c>
      <c r="D175" s="4">
        <f>VLOOKUP(Vlookup!$B140,'CDCM Volume Forecasts'!$A$27:$AG$123,D$137,FALSE)</f>
        <v>0</v>
      </c>
      <c r="E175" s="14">
        <f>VLOOKUP(Vlookup!$B140,'CDCM Volume Forecasts'!$A$27:$AG$123,E$137,FALSE)</f>
        <v>0</v>
      </c>
      <c r="F175" s="8">
        <f>VLOOKUP(Vlookup!$B140,'CDCM Volume Forecasts'!$A$27:$AG$123,F$137,FALSE)</f>
        <v>0</v>
      </c>
      <c r="G175" s="8">
        <f>VLOOKUP(Vlookup!$B140,'CDCM Volume Forecasts'!$A$27:$AG$123,G$137,FALSE)</f>
        <v>0</v>
      </c>
      <c r="H175" s="10"/>
      <c r="I175"/>
      <c r="J175"/>
      <c r="K175"/>
    </row>
    <row r="176" spans="1:11" ht="15">
      <c r="A176" s="11" t="s">
        <v>1644</v>
      </c>
      <c r="B176" s="4">
        <f>VLOOKUP(Vlookup!$B141,'CDCM Volume Forecasts'!$A$27:$AG$123,B$137,FALSE)</f>
        <v>0</v>
      </c>
      <c r="C176" s="4">
        <f>VLOOKUP(Vlookup!$B141,'CDCM Volume Forecasts'!$A$27:$AG$123,C$137,FALSE)</f>
        <v>0</v>
      </c>
      <c r="D176" s="4">
        <f>VLOOKUP(Vlookup!$B141,'CDCM Volume Forecasts'!$A$27:$AG$123,D$137,FALSE)</f>
        <v>0</v>
      </c>
      <c r="E176" s="14">
        <f>VLOOKUP(Vlookup!$B141,'CDCM Volume Forecasts'!$A$27:$AG$123,E$137,FALSE)</f>
        <v>0</v>
      </c>
      <c r="F176" s="8">
        <f>VLOOKUP(Vlookup!$B141,'CDCM Volume Forecasts'!$A$27:$AG$123,F$137,FALSE)</f>
        <v>0</v>
      </c>
      <c r="G176" s="8">
        <f>VLOOKUP(Vlookup!$B141,'CDCM Volume Forecasts'!$A$27:$AG$123,G$137,FALSE)</f>
        <v>0</v>
      </c>
      <c r="H176" s="10"/>
      <c r="I176"/>
      <c r="J176"/>
      <c r="K176"/>
    </row>
    <row r="177" spans="1:11" ht="15">
      <c r="A177" s="11" t="s">
        <v>1641</v>
      </c>
      <c r="B177" s="4">
        <f>VLOOKUP(Vlookup!$B142,'CDCM Volume Forecasts'!$A$27:$AG$123,B$137,FALSE)</f>
        <v>0</v>
      </c>
      <c r="C177" s="4">
        <f>VLOOKUP(Vlookup!$B142,'CDCM Volume Forecasts'!$A$27:$AG$123,C$137,FALSE)</f>
        <v>0</v>
      </c>
      <c r="D177" s="4">
        <f>VLOOKUP(Vlookup!$B142,'CDCM Volume Forecasts'!$A$27:$AG$123,D$137,FALSE)</f>
        <v>0</v>
      </c>
      <c r="E177" s="14">
        <f>VLOOKUP(Vlookup!$B142,'CDCM Volume Forecasts'!$A$27:$AG$123,E$137,FALSE)</f>
        <v>0</v>
      </c>
      <c r="F177" s="8">
        <f>VLOOKUP(Vlookup!$B142,'CDCM Volume Forecasts'!$A$27:$AG$123,F$137,FALSE)</f>
        <v>0</v>
      </c>
      <c r="G177" s="8">
        <f>VLOOKUP(Vlookup!$B142,'CDCM Volume Forecasts'!$A$27:$AG$123,G$137,FALSE)</f>
        <v>0</v>
      </c>
      <c r="H177" s="10"/>
      <c r="I177"/>
      <c r="J177"/>
      <c r="K177"/>
    </row>
    <row r="178" spans="1:11" ht="15">
      <c r="A178" s="17" t="s">
        <v>1649</v>
      </c>
      <c r="B178" s="18">
        <f>VLOOKUP(Vlookup!$B143,'CDCM Volume Forecasts'!$A$27:$AG$123,B$137,FALSE)</f>
        <v>0</v>
      </c>
      <c r="C178" s="18">
        <f>VLOOKUP(Vlookup!$B143,'CDCM Volume Forecasts'!$A$27:$AG$123,C$137,FALSE)</f>
        <v>0</v>
      </c>
      <c r="D178" s="18">
        <f>VLOOKUP(Vlookup!$B143,'CDCM Volume Forecasts'!$A$27:$AG$123,D$137,FALSE)</f>
        <v>0</v>
      </c>
      <c r="E178" s="18">
        <f>VLOOKUP(Vlookup!$B143,'CDCM Volume Forecasts'!$A$27:$AG$123,E$137,FALSE)</f>
        <v>0</v>
      </c>
      <c r="F178" s="18">
        <f>VLOOKUP(Vlookup!$B143,'CDCM Volume Forecasts'!$A$27:$AG$123,F$137,FALSE)</f>
        <v>0</v>
      </c>
      <c r="G178" s="18">
        <f>VLOOKUP(Vlookup!$B143,'CDCM Volume Forecasts'!$A$27:$AG$123,G$137,FALSE)</f>
        <v>0</v>
      </c>
      <c r="H178" s="10"/>
      <c r="I178"/>
      <c r="J178"/>
      <c r="K178"/>
    </row>
    <row r="179" spans="1:11" ht="15">
      <c r="A179" s="11" t="s">
        <v>1646</v>
      </c>
      <c r="B179" s="4">
        <f>VLOOKUP(Vlookup!$B144,'CDCM Volume Forecasts'!$A$27:$AG$123,B$137,FALSE)</f>
        <v>0</v>
      </c>
      <c r="C179" s="4">
        <f>VLOOKUP(Vlookup!$B144,'CDCM Volume Forecasts'!$A$27:$AG$123,C$137,FALSE)</f>
        <v>0</v>
      </c>
      <c r="D179" s="4">
        <f>VLOOKUP(Vlookup!$B144,'CDCM Volume Forecasts'!$A$27:$AG$123,D$137,FALSE)</f>
        <v>0</v>
      </c>
      <c r="E179" s="14">
        <f>VLOOKUP(Vlookup!$B144,'CDCM Volume Forecasts'!$A$27:$AG$123,E$137,FALSE)</f>
        <v>0</v>
      </c>
      <c r="F179" s="8">
        <f>VLOOKUP(Vlookup!$B144,'CDCM Volume Forecasts'!$A$27:$AG$123,F$137,FALSE)</f>
        <v>0</v>
      </c>
      <c r="G179" s="8">
        <f>VLOOKUP(Vlookup!$B144,'CDCM Volume Forecasts'!$A$27:$AG$123,G$137,FALSE)</f>
        <v>0</v>
      </c>
      <c r="H179" s="10"/>
      <c r="I179"/>
      <c r="J179"/>
      <c r="K179"/>
    </row>
    <row r="180" spans="1:11" ht="15">
      <c r="A180" s="11" t="s">
        <v>1643</v>
      </c>
      <c r="B180" s="4">
        <f>VLOOKUP(Vlookup!$B145,'CDCM Volume Forecasts'!$A$27:$AG$123,B$137,FALSE)</f>
        <v>0</v>
      </c>
      <c r="C180" s="4">
        <f>VLOOKUP(Vlookup!$B145,'CDCM Volume Forecasts'!$A$27:$AG$123,C$137,FALSE)</f>
        <v>0</v>
      </c>
      <c r="D180" s="4">
        <f>VLOOKUP(Vlookup!$B145,'CDCM Volume Forecasts'!$A$27:$AG$123,D$137,FALSE)</f>
        <v>0</v>
      </c>
      <c r="E180" s="14">
        <f>VLOOKUP(Vlookup!$B145,'CDCM Volume Forecasts'!$A$27:$AG$123,E$137,FALSE)</f>
        <v>0</v>
      </c>
      <c r="F180" s="8">
        <f>VLOOKUP(Vlookup!$B145,'CDCM Volume Forecasts'!$A$27:$AG$123,F$137,FALSE)</f>
        <v>0</v>
      </c>
      <c r="G180" s="8">
        <f>VLOOKUP(Vlookup!$B145,'CDCM Volume Forecasts'!$A$27:$AG$123,G$137,FALSE)</f>
        <v>0</v>
      </c>
      <c r="H180" s="10"/>
      <c r="I180"/>
      <c r="J180"/>
      <c r="K180"/>
    </row>
    <row r="181" spans="1:11" ht="15">
      <c r="A181" s="11" t="s">
        <v>1640</v>
      </c>
      <c r="B181" s="4">
        <f>VLOOKUP(Vlookup!$B146,'CDCM Volume Forecasts'!$A$27:$AG$123,B$137,FALSE)</f>
        <v>0</v>
      </c>
      <c r="C181" s="4">
        <f>VLOOKUP(Vlookup!$B146,'CDCM Volume Forecasts'!$A$27:$AG$123,C$137,FALSE)</f>
        <v>0</v>
      </c>
      <c r="D181" s="4">
        <f>VLOOKUP(Vlookup!$B146,'CDCM Volume Forecasts'!$A$27:$AG$123,D$137,FALSE)</f>
        <v>0</v>
      </c>
      <c r="E181" s="14">
        <f>VLOOKUP(Vlookup!$B146,'CDCM Volume Forecasts'!$A$27:$AG$123,E$137,FALSE)</f>
        <v>0</v>
      </c>
      <c r="F181" s="8">
        <f>VLOOKUP(Vlookup!$B146,'CDCM Volume Forecasts'!$A$27:$AG$123,F$137,FALSE)</f>
        <v>0</v>
      </c>
      <c r="G181" s="8">
        <f>VLOOKUP(Vlookup!$B146,'CDCM Volume Forecasts'!$A$27:$AG$123,G$137,FALSE)</f>
        <v>0</v>
      </c>
      <c r="H181" s="10"/>
      <c r="I181"/>
      <c r="J181"/>
      <c r="K181"/>
    </row>
    <row r="182" spans="1:11" ht="15">
      <c r="A182" s="17" t="s">
        <v>169</v>
      </c>
      <c r="B182" s="18">
        <f>VLOOKUP(Vlookup!$B147,'CDCM Volume Forecasts'!$A$27:$AG$123,B$137,FALSE)</f>
        <v>0</v>
      </c>
      <c r="C182" s="18">
        <f>VLOOKUP(Vlookup!$B147,'CDCM Volume Forecasts'!$A$27:$AG$123,C$137,FALSE)</f>
        <v>0</v>
      </c>
      <c r="D182" s="18">
        <f>VLOOKUP(Vlookup!$B147,'CDCM Volume Forecasts'!$A$27:$AG$123,D$137,FALSE)</f>
        <v>0</v>
      </c>
      <c r="E182" s="18">
        <f>VLOOKUP(Vlookup!$B147,'CDCM Volume Forecasts'!$A$27:$AG$123,E$137,FALSE)</f>
        <v>0</v>
      </c>
      <c r="F182" s="18">
        <f>VLOOKUP(Vlookup!$B147,'CDCM Volume Forecasts'!$A$27:$AG$123,F$137,FALSE)</f>
        <v>0</v>
      </c>
      <c r="G182" s="18">
        <f>VLOOKUP(Vlookup!$B147,'CDCM Volume Forecasts'!$A$27:$AG$123,G$137,FALSE)</f>
        <v>0</v>
      </c>
      <c r="H182" s="10"/>
      <c r="I182"/>
      <c r="J182"/>
      <c r="K182"/>
    </row>
    <row r="183" spans="1:11" ht="15">
      <c r="A183" s="11" t="s">
        <v>98</v>
      </c>
      <c r="B183" s="4">
        <f>VLOOKUP(Vlookup!$B148,'CDCM Volume Forecasts'!$A$27:$AG$123,B$137,FALSE)</f>
        <v>105280.60773635872</v>
      </c>
      <c r="C183" s="4">
        <f>VLOOKUP(Vlookup!$B148,'CDCM Volume Forecasts'!$A$27:$AG$123,C$137,FALSE)</f>
        <v>666906.91242974426</v>
      </c>
      <c r="D183" s="4">
        <f>VLOOKUP(Vlookup!$B148,'CDCM Volume Forecasts'!$A$27:$AG$123,D$137,FALSE)</f>
        <v>493272.90471028525</v>
      </c>
      <c r="E183" s="14">
        <f>VLOOKUP(Vlookup!$B148,'CDCM Volume Forecasts'!$A$27:$AG$123,E$137,FALSE)</f>
        <v>3111</v>
      </c>
      <c r="F183" s="14">
        <f>VLOOKUP(Vlookup!$B148,'CDCM Volume Forecasts'!$A$27:$AG$123,F$137,FALSE)</f>
        <v>578357</v>
      </c>
      <c r="G183" s="4">
        <f>VLOOKUP(Vlookup!$B148,'CDCM Volume Forecasts'!$A$27:$AG$123,G$137,FALSE)</f>
        <v>121162</v>
      </c>
      <c r="H183" s="10"/>
      <c r="I183"/>
      <c r="J183"/>
      <c r="K183"/>
    </row>
    <row r="184" spans="1:11" ht="15">
      <c r="A184" s="11" t="s">
        <v>170</v>
      </c>
      <c r="B184" s="4">
        <f>VLOOKUP(Vlookup!$B149,'CDCM Volume Forecasts'!$A$27:$AG$123,B$137,FALSE)</f>
        <v>0</v>
      </c>
      <c r="C184" s="4">
        <f>VLOOKUP(Vlookup!$B149,'CDCM Volume Forecasts'!$A$27:$AG$123,C$137,FALSE)</f>
        <v>0</v>
      </c>
      <c r="D184" s="4">
        <f>VLOOKUP(Vlookup!$B149,'CDCM Volume Forecasts'!$A$27:$AG$123,D$137,FALSE)</f>
        <v>0</v>
      </c>
      <c r="E184" s="14">
        <f>VLOOKUP(Vlookup!$B149,'CDCM Volume Forecasts'!$A$27:$AG$123,E$137,FALSE)</f>
        <v>0</v>
      </c>
      <c r="F184" s="14">
        <f>VLOOKUP(Vlookup!$B149,'CDCM Volume Forecasts'!$A$27:$AG$123,F$137,FALSE)</f>
        <v>0</v>
      </c>
      <c r="G184" s="4">
        <f>VLOOKUP(Vlookup!$B149,'CDCM Volume Forecasts'!$A$27:$AG$123,G$137,FALSE)</f>
        <v>0</v>
      </c>
      <c r="H184" s="10"/>
      <c r="I184"/>
      <c r="J184"/>
      <c r="K184"/>
    </row>
    <row r="185" spans="1:11" ht="15">
      <c r="A185" s="11" t="s">
        <v>171</v>
      </c>
      <c r="B185" s="4">
        <f>VLOOKUP(Vlookup!$B150,'CDCM Volume Forecasts'!$A$27:$AG$123,B$137,FALSE)</f>
        <v>1624.4972466770896</v>
      </c>
      <c r="C185" s="4">
        <f>VLOOKUP(Vlookup!$B150,'CDCM Volume Forecasts'!$A$27:$AG$123,C$137,FALSE)</f>
        <v>8871.8152011074108</v>
      </c>
      <c r="D185" s="4">
        <f>VLOOKUP(Vlookup!$B150,'CDCM Volume Forecasts'!$A$27:$AG$123,D$137,FALSE)</f>
        <v>6399.4295359516582</v>
      </c>
      <c r="E185" s="14">
        <f>VLOOKUP(Vlookup!$B150,'CDCM Volume Forecasts'!$A$27:$AG$123,E$137,FALSE)</f>
        <v>20</v>
      </c>
      <c r="F185" s="14">
        <f>VLOOKUP(Vlookup!$B150,'CDCM Volume Forecasts'!$A$27:$AG$123,F$137,FALSE)</f>
        <v>6985</v>
      </c>
      <c r="G185" s="4">
        <f>VLOOKUP(Vlookup!$B150,'CDCM Volume Forecasts'!$A$27:$AG$123,G$137,FALSE)</f>
        <v>558</v>
      </c>
      <c r="H185" s="10"/>
      <c r="I185"/>
      <c r="J185"/>
      <c r="K185"/>
    </row>
    <row r="186" spans="1:11" ht="15">
      <c r="A186" s="17" t="s">
        <v>172</v>
      </c>
      <c r="B186" s="18">
        <f>VLOOKUP(Vlookup!$B151,'CDCM Volume Forecasts'!$A$27:$AG$123,B$137,FALSE)</f>
        <v>0</v>
      </c>
      <c r="C186" s="18">
        <f>VLOOKUP(Vlookup!$B151,'CDCM Volume Forecasts'!$A$27:$AG$123,C$137,FALSE)</f>
        <v>0</v>
      </c>
      <c r="D186" s="18">
        <f>VLOOKUP(Vlookup!$B151,'CDCM Volume Forecasts'!$A$27:$AG$123,D$137,FALSE)</f>
        <v>0</v>
      </c>
      <c r="E186" s="18">
        <f>VLOOKUP(Vlookup!$B151,'CDCM Volume Forecasts'!$A$27:$AG$123,E$137,FALSE)</f>
        <v>0</v>
      </c>
      <c r="F186" s="18">
        <f>VLOOKUP(Vlookup!$B151,'CDCM Volume Forecasts'!$A$27:$AG$123,F$137,FALSE)</f>
        <v>0</v>
      </c>
      <c r="G186" s="18">
        <f>VLOOKUP(Vlookup!$B151,'CDCM Volume Forecasts'!$A$27:$AG$123,G$137,FALSE)</f>
        <v>0</v>
      </c>
      <c r="H186" s="10"/>
      <c r="I186"/>
      <c r="J186"/>
      <c r="K186"/>
    </row>
    <row r="187" spans="1:11" ht="15">
      <c r="A187" s="11" t="s">
        <v>99</v>
      </c>
      <c r="B187" s="4">
        <f>VLOOKUP(Vlookup!$B152,'CDCM Volume Forecasts'!$A$27:$AG$123,B$137,FALSE)</f>
        <v>1334.7866543787895</v>
      </c>
      <c r="C187" s="4">
        <f>VLOOKUP(Vlookup!$B152,'CDCM Volume Forecasts'!$A$27:$AG$123,C$137,FALSE)</f>
        <v>7582.7475303968895</v>
      </c>
      <c r="D187" s="4">
        <f>VLOOKUP(Vlookup!$B152,'CDCM Volume Forecasts'!$A$27:$AG$123,D$137,FALSE)</f>
        <v>5677.7124349562873</v>
      </c>
      <c r="E187" s="14">
        <f>VLOOKUP(Vlookup!$B152,'CDCM Volume Forecasts'!$A$27:$AG$123,E$137,FALSE)</f>
        <v>18</v>
      </c>
      <c r="F187" s="14">
        <f>VLOOKUP(Vlookup!$B152,'CDCM Volume Forecasts'!$A$27:$AG$123,F$137,FALSE)</f>
        <v>6238</v>
      </c>
      <c r="G187" s="4">
        <f>VLOOKUP(Vlookup!$B152,'CDCM Volume Forecasts'!$A$27:$AG$123,G$137,FALSE)</f>
        <v>1758</v>
      </c>
      <c r="H187" s="10"/>
      <c r="I187"/>
      <c r="J187"/>
      <c r="K187"/>
    </row>
    <row r="188" spans="1:11" ht="15">
      <c r="A188" s="11" t="s">
        <v>173</v>
      </c>
      <c r="B188" s="4">
        <f>VLOOKUP(Vlookup!$B153,'CDCM Volume Forecasts'!$A$27:$AG$123,B$137,FALSE)</f>
        <v>439.053309912727</v>
      </c>
      <c r="C188" s="4">
        <f>VLOOKUP(Vlookup!$B153,'CDCM Volume Forecasts'!$A$27:$AG$123,C$137,FALSE)</f>
        <v>2397.787892191192</v>
      </c>
      <c r="D188" s="4">
        <f>VLOOKUP(Vlookup!$B153,'CDCM Volume Forecasts'!$A$27:$AG$123,D$137,FALSE)</f>
        <v>1729.5755502572049</v>
      </c>
      <c r="E188" s="14">
        <f>VLOOKUP(Vlookup!$B153,'CDCM Volume Forecasts'!$A$27:$AG$123,E$137,FALSE)</f>
        <v>5</v>
      </c>
      <c r="F188" s="14">
        <f>VLOOKUP(Vlookup!$B153,'CDCM Volume Forecasts'!$A$27:$AG$123,F$137,FALSE)</f>
        <v>1067</v>
      </c>
      <c r="G188" s="4">
        <f>VLOOKUP(Vlookup!$B153,'CDCM Volume Forecasts'!$A$27:$AG$123,G$137,FALSE)</f>
        <v>113</v>
      </c>
      <c r="H188" s="10"/>
      <c r="I188"/>
      <c r="J188"/>
      <c r="K188"/>
    </row>
    <row r="189" spans="1:11" ht="15">
      <c r="A189" s="17" t="s">
        <v>174</v>
      </c>
      <c r="B189" s="18">
        <f>VLOOKUP(Vlookup!$B154,'CDCM Volume Forecasts'!$A$27:$AG$123,B$137,FALSE)</f>
        <v>0</v>
      </c>
      <c r="C189" s="18">
        <f>VLOOKUP(Vlookup!$B154,'CDCM Volume Forecasts'!$A$27:$AG$123,C$137,FALSE)</f>
        <v>0</v>
      </c>
      <c r="D189" s="18">
        <f>VLOOKUP(Vlookup!$B154,'CDCM Volume Forecasts'!$A$27:$AG$123,D$137,FALSE)</f>
        <v>0</v>
      </c>
      <c r="E189" s="18">
        <f>VLOOKUP(Vlookup!$B154,'CDCM Volume Forecasts'!$A$27:$AG$123,E$137,FALSE)</f>
        <v>0</v>
      </c>
      <c r="F189" s="18">
        <f>VLOOKUP(Vlookup!$B154,'CDCM Volume Forecasts'!$A$27:$AG$123,F$137,FALSE)</f>
        <v>0</v>
      </c>
      <c r="G189" s="18">
        <f>VLOOKUP(Vlookup!$B154,'CDCM Volume Forecasts'!$A$27:$AG$123,G$137,FALSE)</f>
        <v>0</v>
      </c>
      <c r="H189" s="10"/>
      <c r="I189"/>
      <c r="J189"/>
      <c r="K189"/>
    </row>
    <row r="190" spans="1:11" ht="15">
      <c r="A190" s="11" t="s">
        <v>111</v>
      </c>
      <c r="B190" s="4">
        <f>VLOOKUP(Vlookup!$B155,'CDCM Volume Forecasts'!$A$27:$AG$123,B$137,FALSE)</f>
        <v>168212.60808699948</v>
      </c>
      <c r="C190" s="4">
        <f>VLOOKUP(Vlookup!$B155,'CDCM Volume Forecasts'!$A$27:$AG$123,C$137,FALSE)</f>
        <v>1015521.4628002136</v>
      </c>
      <c r="D190" s="4">
        <f>VLOOKUP(Vlookup!$B155,'CDCM Volume Forecasts'!$A$27:$AG$123,D$137,FALSE)</f>
        <v>952719.56575802783</v>
      </c>
      <c r="E190" s="14">
        <f>VLOOKUP(Vlookup!$B155,'CDCM Volume Forecasts'!$A$27:$AG$123,E$137,FALSE)</f>
        <v>595</v>
      </c>
      <c r="F190" s="14">
        <f>VLOOKUP(Vlookup!$B155,'CDCM Volume Forecasts'!$A$27:$AG$123,F$137,FALSE)</f>
        <v>696791</v>
      </c>
      <c r="G190" s="4">
        <f>VLOOKUP(Vlookup!$B155,'CDCM Volume Forecasts'!$A$27:$AG$123,G$137,FALSE)</f>
        <v>160841</v>
      </c>
      <c r="H190" s="10"/>
      <c r="I190"/>
      <c r="J190"/>
      <c r="K190"/>
    </row>
    <row r="191" spans="1:11" ht="15">
      <c r="A191" s="11" t="s">
        <v>175</v>
      </c>
      <c r="B191" s="4">
        <f>VLOOKUP(Vlookup!$B156,'CDCM Volume Forecasts'!$A$27:$AG$123,B$137,FALSE)</f>
        <v>687.38919403029763</v>
      </c>
      <c r="C191" s="4">
        <f>VLOOKUP(Vlookup!$B156,'CDCM Volume Forecasts'!$A$27:$AG$123,C$137,FALSE)</f>
        <v>3897.128225748751</v>
      </c>
      <c r="D191" s="4">
        <f>VLOOKUP(Vlookup!$B156,'CDCM Volume Forecasts'!$A$27:$AG$123,D$137,FALSE)</f>
        <v>3071.0997928152483</v>
      </c>
      <c r="E191" s="14">
        <f>VLOOKUP(Vlookup!$B156,'CDCM Volume Forecasts'!$A$27:$AG$123,E$137,FALSE)</f>
        <v>5</v>
      </c>
      <c r="F191" s="14">
        <f>VLOOKUP(Vlookup!$B156,'CDCM Volume Forecasts'!$A$27:$AG$123,F$137,FALSE)</f>
        <v>4903</v>
      </c>
      <c r="G191" s="4">
        <f>VLOOKUP(Vlookup!$B156,'CDCM Volume Forecasts'!$A$27:$AG$123,G$137,FALSE)</f>
        <v>358</v>
      </c>
      <c r="H191" s="10"/>
      <c r="I191"/>
      <c r="J191"/>
      <c r="K191"/>
    </row>
    <row r="192" spans="1:11" ht="15">
      <c r="A192" s="17" t="s">
        <v>176</v>
      </c>
      <c r="B192" s="18">
        <f>VLOOKUP(Vlookup!$B157,'CDCM Volume Forecasts'!$A$27:$AG$123,B$137,FALSE)</f>
        <v>0</v>
      </c>
      <c r="C192" s="18">
        <f>VLOOKUP(Vlookup!$B157,'CDCM Volume Forecasts'!$A$27:$AG$123,C$137,FALSE)</f>
        <v>0</v>
      </c>
      <c r="D192" s="18">
        <f>VLOOKUP(Vlookup!$B157,'CDCM Volume Forecasts'!$A$27:$AG$123,D$137,FALSE)</f>
        <v>0</v>
      </c>
      <c r="E192" s="18">
        <f>VLOOKUP(Vlookup!$B157,'CDCM Volume Forecasts'!$A$27:$AG$123,E$137,FALSE)</f>
        <v>0</v>
      </c>
      <c r="F192" s="18">
        <f>VLOOKUP(Vlookup!$B157,'CDCM Volume Forecasts'!$A$27:$AG$123,F$137,FALSE)</f>
        <v>0</v>
      </c>
      <c r="G192" s="18">
        <f>VLOOKUP(Vlookup!$B157,'CDCM Volume Forecasts'!$A$27:$AG$123,G$137,FALSE)</f>
        <v>0</v>
      </c>
      <c r="H192" s="10"/>
      <c r="I192"/>
      <c r="J192"/>
      <c r="K192"/>
    </row>
    <row r="193" spans="1:11" ht="15">
      <c r="A193" s="11" t="s">
        <v>131</v>
      </c>
      <c r="B193" s="4">
        <f>VLOOKUP(Vlookup!$B158,'CDCM Volume Forecasts'!$A$27:$AG$123,B$137,FALSE)</f>
        <v>7597.2957335261272</v>
      </c>
      <c r="C193" s="8">
        <f>VLOOKUP(Vlookup!$B158,'CDCM Volume Forecasts'!$A$27:$AG$123,C$137,FALSE)</f>
        <v>0</v>
      </c>
      <c r="D193" s="8">
        <f>VLOOKUP(Vlookup!$B158,'CDCM Volume Forecasts'!$A$27:$AG$123,D$137,FALSE)</f>
        <v>0</v>
      </c>
      <c r="E193" s="14">
        <f>VLOOKUP(Vlookup!$B158,'CDCM Volume Forecasts'!$A$27:$AG$123,E$137,FALSE)</f>
        <v>514</v>
      </c>
      <c r="F193" s="8">
        <f>VLOOKUP(Vlookup!$B158,'CDCM Volume Forecasts'!$A$27:$AG$123,F$137,FALSE)</f>
        <v>0</v>
      </c>
      <c r="G193" s="8">
        <f>VLOOKUP(Vlookup!$B158,'CDCM Volume Forecasts'!$A$27:$AG$123,G$137,FALSE)</f>
        <v>0</v>
      </c>
      <c r="H193" s="10"/>
      <c r="I193"/>
      <c r="J193"/>
      <c r="K193"/>
    </row>
    <row r="194" spans="1:11" ht="15">
      <c r="A194" s="11" t="s">
        <v>177</v>
      </c>
      <c r="B194" s="4">
        <f>VLOOKUP(Vlookup!$B159,'CDCM Volume Forecasts'!$A$27:$AG$123,B$137,FALSE)</f>
        <v>38.57379559770618</v>
      </c>
      <c r="C194" s="8">
        <f>VLOOKUP(Vlookup!$B159,'CDCM Volume Forecasts'!$A$27:$AG$123,C$137,FALSE)</f>
        <v>0</v>
      </c>
      <c r="D194" s="8">
        <f>VLOOKUP(Vlookup!$B159,'CDCM Volume Forecasts'!$A$27:$AG$123,D$137,FALSE)</f>
        <v>0</v>
      </c>
      <c r="E194" s="14">
        <f>VLOOKUP(Vlookup!$B159,'CDCM Volume Forecasts'!$A$27:$AG$123,E$137,FALSE)</f>
        <v>0</v>
      </c>
      <c r="F194" s="8">
        <f>VLOOKUP(Vlookup!$B159,'CDCM Volume Forecasts'!$A$27:$AG$123,F$137,FALSE)</f>
        <v>0</v>
      </c>
      <c r="G194" s="8">
        <f>VLOOKUP(Vlookup!$B159,'CDCM Volume Forecasts'!$A$27:$AG$123,G$137,FALSE)</f>
        <v>0</v>
      </c>
      <c r="H194" s="10"/>
      <c r="I194"/>
      <c r="J194"/>
      <c r="K194"/>
    </row>
    <row r="195" spans="1:11" ht="15">
      <c r="A195" s="11" t="s">
        <v>178</v>
      </c>
      <c r="B195" s="4">
        <f>VLOOKUP(Vlookup!$B160,'CDCM Volume Forecasts'!$A$27:$AG$123,B$137,FALSE)</f>
        <v>180.42533538088671</v>
      </c>
      <c r="C195" s="8">
        <f>VLOOKUP(Vlookup!$B160,'CDCM Volume Forecasts'!$A$27:$AG$123,C$137,FALSE)</f>
        <v>0</v>
      </c>
      <c r="D195" s="8">
        <f>VLOOKUP(Vlookup!$B160,'CDCM Volume Forecasts'!$A$27:$AG$123,D$137,FALSE)</f>
        <v>0</v>
      </c>
      <c r="E195" s="14">
        <f>VLOOKUP(Vlookup!$B160,'CDCM Volume Forecasts'!$A$27:$AG$123,E$137,FALSE)</f>
        <v>0</v>
      </c>
      <c r="F195" s="8">
        <f>VLOOKUP(Vlookup!$B160,'CDCM Volume Forecasts'!$A$27:$AG$123,F$137,FALSE)</f>
        <v>0</v>
      </c>
      <c r="G195" s="8">
        <f>VLOOKUP(Vlookup!$B160,'CDCM Volume Forecasts'!$A$27:$AG$123,G$137,FALSE)</f>
        <v>0</v>
      </c>
      <c r="H195" s="10"/>
      <c r="I195"/>
      <c r="J195"/>
      <c r="K195"/>
    </row>
    <row r="196" spans="1:11" ht="15">
      <c r="A196" s="17" t="s">
        <v>179</v>
      </c>
      <c r="B196" s="18">
        <f>VLOOKUP(Vlookup!$B161,'CDCM Volume Forecasts'!$A$27:$AG$123,B$137,FALSE)</f>
        <v>0</v>
      </c>
      <c r="C196" s="18">
        <f>VLOOKUP(Vlookup!$B161,'CDCM Volume Forecasts'!$A$27:$AG$123,C$137,FALSE)</f>
        <v>0</v>
      </c>
      <c r="D196" s="18">
        <f>VLOOKUP(Vlookup!$B161,'CDCM Volume Forecasts'!$A$27:$AG$123,D$137,FALSE)</f>
        <v>0</v>
      </c>
      <c r="E196" s="18">
        <f>VLOOKUP(Vlookup!$B161,'CDCM Volume Forecasts'!$A$27:$AG$123,E$137,FALSE)</f>
        <v>0</v>
      </c>
      <c r="F196" s="18">
        <f>VLOOKUP(Vlookup!$B161,'CDCM Volume Forecasts'!$A$27:$AG$123,F$137,FALSE)</f>
        <v>0</v>
      </c>
      <c r="G196" s="18">
        <f>VLOOKUP(Vlookup!$B161,'CDCM Volume Forecasts'!$A$27:$AG$123,G$137,FALSE)</f>
        <v>0</v>
      </c>
      <c r="H196" s="10"/>
      <c r="I196"/>
      <c r="J196"/>
      <c r="K196"/>
    </row>
    <row r="197" spans="1:11" ht="15">
      <c r="A197" s="11" t="s">
        <v>132</v>
      </c>
      <c r="B197" s="4">
        <f>VLOOKUP(Vlookup!$B162,'CDCM Volume Forecasts'!$A$27:$AG$123,B$137,FALSE)</f>
        <v>5952.5744876907111</v>
      </c>
      <c r="C197" s="8">
        <f>VLOOKUP(Vlookup!$B162,'CDCM Volume Forecasts'!$A$27:$AG$123,C$137,FALSE)</f>
        <v>0</v>
      </c>
      <c r="D197" s="8">
        <f>VLOOKUP(Vlookup!$B162,'CDCM Volume Forecasts'!$A$27:$AG$123,D$137,FALSE)</f>
        <v>0</v>
      </c>
      <c r="E197" s="14">
        <f>VLOOKUP(Vlookup!$B162,'CDCM Volume Forecasts'!$A$27:$AG$123,E$137,FALSE)</f>
        <v>749</v>
      </c>
      <c r="F197" s="8">
        <f>VLOOKUP(Vlookup!$B162,'CDCM Volume Forecasts'!$A$27:$AG$123,F$137,FALSE)</f>
        <v>0</v>
      </c>
      <c r="G197" s="8">
        <f>VLOOKUP(Vlookup!$B162,'CDCM Volume Forecasts'!$A$27:$AG$123,G$137,FALSE)</f>
        <v>0</v>
      </c>
      <c r="H197" s="10"/>
      <c r="I197"/>
      <c r="J197"/>
      <c r="K197"/>
    </row>
    <row r="198" spans="1:11" ht="15">
      <c r="A198" s="11" t="s">
        <v>180</v>
      </c>
      <c r="B198" s="4">
        <f>VLOOKUP(Vlookup!$B163,'CDCM Volume Forecasts'!$A$27:$AG$123,B$137,FALSE)</f>
        <v>5.4179338644077735</v>
      </c>
      <c r="C198" s="8">
        <f>VLOOKUP(Vlookup!$B163,'CDCM Volume Forecasts'!$A$27:$AG$123,C$137,FALSE)</f>
        <v>0</v>
      </c>
      <c r="D198" s="8">
        <f>VLOOKUP(Vlookup!$B163,'CDCM Volume Forecasts'!$A$27:$AG$123,D$137,FALSE)</f>
        <v>0</v>
      </c>
      <c r="E198" s="14">
        <f>VLOOKUP(Vlookup!$B163,'CDCM Volume Forecasts'!$A$27:$AG$123,E$137,FALSE)</f>
        <v>0</v>
      </c>
      <c r="F198" s="8">
        <f>VLOOKUP(Vlookup!$B163,'CDCM Volume Forecasts'!$A$27:$AG$123,F$137,FALSE)</f>
        <v>0</v>
      </c>
      <c r="G198" s="8">
        <f>VLOOKUP(Vlookup!$B163,'CDCM Volume Forecasts'!$A$27:$AG$123,G$137,FALSE)</f>
        <v>0</v>
      </c>
      <c r="H198" s="10"/>
      <c r="I198"/>
      <c r="J198"/>
      <c r="K198"/>
    </row>
    <row r="199" spans="1:11" ht="15">
      <c r="A199" s="11" t="s">
        <v>181</v>
      </c>
      <c r="B199" s="4">
        <f>VLOOKUP(Vlookup!$B164,'CDCM Volume Forecasts'!$A$27:$AG$123,B$137,FALSE)</f>
        <v>258.82704553611961</v>
      </c>
      <c r="C199" s="8">
        <f>VLOOKUP(Vlookup!$B164,'CDCM Volume Forecasts'!$A$27:$AG$123,C$137,FALSE)</f>
        <v>0</v>
      </c>
      <c r="D199" s="8">
        <f>VLOOKUP(Vlookup!$B164,'CDCM Volume Forecasts'!$A$27:$AG$123,D$137,FALSE)</f>
        <v>0</v>
      </c>
      <c r="E199" s="14">
        <f>VLOOKUP(Vlookup!$B164,'CDCM Volume Forecasts'!$A$27:$AG$123,E$137,FALSE)</f>
        <v>0</v>
      </c>
      <c r="F199" s="8">
        <f>VLOOKUP(Vlookup!$B164,'CDCM Volume Forecasts'!$A$27:$AG$123,F$137,FALSE)</f>
        <v>0</v>
      </c>
      <c r="G199" s="8">
        <f>VLOOKUP(Vlookup!$B164,'CDCM Volume Forecasts'!$A$27:$AG$123,G$137,FALSE)</f>
        <v>0</v>
      </c>
      <c r="H199" s="10"/>
      <c r="I199"/>
      <c r="J199"/>
      <c r="K199"/>
    </row>
    <row r="200" spans="1:11" ht="15">
      <c r="A200" s="17" t="s">
        <v>182</v>
      </c>
      <c r="B200" s="18">
        <f>VLOOKUP(Vlookup!$B165,'CDCM Volume Forecasts'!$A$27:$AG$123,B$137,FALSE)</f>
        <v>0</v>
      </c>
      <c r="C200" s="18">
        <f>VLOOKUP(Vlookup!$B165,'CDCM Volume Forecasts'!$A$27:$AG$123,C$137,FALSE)</f>
        <v>0</v>
      </c>
      <c r="D200" s="18">
        <f>VLOOKUP(Vlookup!$B165,'CDCM Volume Forecasts'!$A$27:$AG$123,D$137,FALSE)</f>
        <v>0</v>
      </c>
      <c r="E200" s="18">
        <f>VLOOKUP(Vlookup!$B165,'CDCM Volume Forecasts'!$A$27:$AG$123,E$137,FALSE)</f>
        <v>0</v>
      </c>
      <c r="F200" s="18">
        <f>VLOOKUP(Vlookup!$B165,'CDCM Volume Forecasts'!$A$27:$AG$123,F$137,FALSE)</f>
        <v>0</v>
      </c>
      <c r="G200" s="18">
        <f>VLOOKUP(Vlookup!$B165,'CDCM Volume Forecasts'!$A$27:$AG$123,G$137,FALSE)</f>
        <v>0</v>
      </c>
      <c r="H200" s="10"/>
      <c r="I200"/>
      <c r="J200"/>
      <c r="K200"/>
    </row>
    <row r="201" spans="1:11" ht="15">
      <c r="A201" s="11" t="s">
        <v>133</v>
      </c>
      <c r="B201" s="4">
        <f>VLOOKUP(Vlookup!$B166,'CDCM Volume Forecasts'!$A$27:$AG$123,B$137,FALSE)</f>
        <v>378.27038018128798</v>
      </c>
      <c r="C201" s="8">
        <f>VLOOKUP(Vlookup!$B166,'CDCM Volume Forecasts'!$A$27:$AG$123,C$137,FALSE)</f>
        <v>0</v>
      </c>
      <c r="D201" s="8">
        <f>VLOOKUP(Vlookup!$B166,'CDCM Volume Forecasts'!$A$27:$AG$123,D$137,FALSE)</f>
        <v>0</v>
      </c>
      <c r="E201" s="14">
        <f>VLOOKUP(Vlookup!$B166,'CDCM Volume Forecasts'!$A$27:$AG$123,E$137,FALSE)</f>
        <v>84</v>
      </c>
      <c r="F201" s="8">
        <f>VLOOKUP(Vlookup!$B166,'CDCM Volume Forecasts'!$A$27:$AG$123,F$137,FALSE)</f>
        <v>0</v>
      </c>
      <c r="G201" s="8">
        <f>VLOOKUP(Vlookup!$B166,'CDCM Volume Forecasts'!$A$27:$AG$123,G$137,FALSE)</f>
        <v>0</v>
      </c>
      <c r="H201" s="10"/>
      <c r="I201"/>
      <c r="J201"/>
      <c r="K201"/>
    </row>
    <row r="202" spans="1:11" ht="15">
      <c r="A202" s="11" t="s">
        <v>183</v>
      </c>
      <c r="B202" s="4">
        <f>VLOOKUP(Vlookup!$B167,'CDCM Volume Forecasts'!$A$27:$AG$123,B$137,FALSE)</f>
        <v>0</v>
      </c>
      <c r="C202" s="8">
        <f>VLOOKUP(Vlookup!$B167,'CDCM Volume Forecasts'!$A$27:$AG$123,C$137,FALSE)</f>
        <v>0</v>
      </c>
      <c r="D202" s="8">
        <f>VLOOKUP(Vlookup!$B167,'CDCM Volume Forecasts'!$A$27:$AG$123,D$137,FALSE)</f>
        <v>0</v>
      </c>
      <c r="E202" s="14">
        <f>VLOOKUP(Vlookup!$B167,'CDCM Volume Forecasts'!$A$27:$AG$123,E$137,FALSE)</f>
        <v>0</v>
      </c>
      <c r="F202" s="8">
        <f>VLOOKUP(Vlookup!$B167,'CDCM Volume Forecasts'!$A$27:$AG$123,F$137,FALSE)</f>
        <v>0</v>
      </c>
      <c r="G202" s="8">
        <f>VLOOKUP(Vlookup!$B167,'CDCM Volume Forecasts'!$A$27:$AG$123,G$137,FALSE)</f>
        <v>0</v>
      </c>
      <c r="H202" s="10"/>
      <c r="I202"/>
      <c r="J202"/>
      <c r="K202"/>
    </row>
    <row r="203" spans="1:11" ht="15">
      <c r="A203" s="11" t="s">
        <v>184</v>
      </c>
      <c r="B203" s="4">
        <f>VLOOKUP(Vlookup!$B168,'CDCM Volume Forecasts'!$A$27:$AG$123,B$137,FALSE)</f>
        <v>0</v>
      </c>
      <c r="C203" s="8">
        <f>VLOOKUP(Vlookup!$B168,'CDCM Volume Forecasts'!$A$27:$AG$123,C$137,FALSE)</f>
        <v>0</v>
      </c>
      <c r="D203" s="8">
        <f>VLOOKUP(Vlookup!$B168,'CDCM Volume Forecasts'!$A$27:$AG$123,D$137,FALSE)</f>
        <v>0</v>
      </c>
      <c r="E203" s="14">
        <f>VLOOKUP(Vlookup!$B168,'CDCM Volume Forecasts'!$A$27:$AG$123,E$137,FALSE)</f>
        <v>0</v>
      </c>
      <c r="F203" s="8">
        <f>VLOOKUP(Vlookup!$B168,'CDCM Volume Forecasts'!$A$27:$AG$123,F$137,FALSE)</f>
        <v>0</v>
      </c>
      <c r="G203" s="8">
        <f>VLOOKUP(Vlookup!$B168,'CDCM Volume Forecasts'!$A$27:$AG$123,G$137,FALSE)</f>
        <v>0</v>
      </c>
      <c r="H203" s="10"/>
      <c r="I203"/>
      <c r="J203"/>
      <c r="K203"/>
    </row>
    <row r="204" spans="1:11" ht="15">
      <c r="A204" s="17" t="s">
        <v>185</v>
      </c>
      <c r="B204" s="18">
        <f>VLOOKUP(Vlookup!$B169,'CDCM Volume Forecasts'!$A$27:$AG$123,B$137,FALSE)</f>
        <v>0</v>
      </c>
      <c r="C204" s="18">
        <f>VLOOKUP(Vlookup!$B169,'CDCM Volume Forecasts'!$A$27:$AG$123,C$137,FALSE)</f>
        <v>0</v>
      </c>
      <c r="D204" s="18">
        <f>VLOOKUP(Vlookup!$B169,'CDCM Volume Forecasts'!$A$27:$AG$123,D$137,FALSE)</f>
        <v>0</v>
      </c>
      <c r="E204" s="18">
        <f>VLOOKUP(Vlookup!$B169,'CDCM Volume Forecasts'!$A$27:$AG$123,E$137,FALSE)</f>
        <v>0</v>
      </c>
      <c r="F204" s="18">
        <f>VLOOKUP(Vlookup!$B169,'CDCM Volume Forecasts'!$A$27:$AG$123,F$137,FALSE)</f>
        <v>0</v>
      </c>
      <c r="G204" s="18">
        <f>VLOOKUP(Vlookup!$B169,'CDCM Volume Forecasts'!$A$27:$AG$123,G$137,FALSE)</f>
        <v>0</v>
      </c>
      <c r="H204" s="10"/>
      <c r="I204"/>
      <c r="J204"/>
      <c r="K204"/>
    </row>
    <row r="205" spans="1:11" ht="15">
      <c r="A205" s="11" t="s">
        <v>134</v>
      </c>
      <c r="B205" s="4">
        <f>VLOOKUP(Vlookup!$B170,'CDCM Volume Forecasts'!$A$27:$AG$123,B$137,FALSE)</f>
        <v>0</v>
      </c>
      <c r="C205" s="8">
        <f>VLOOKUP(Vlookup!$B170,'CDCM Volume Forecasts'!$A$27:$AG$123,C$137,FALSE)</f>
        <v>0</v>
      </c>
      <c r="D205" s="8">
        <f>VLOOKUP(Vlookup!$B170,'CDCM Volume Forecasts'!$A$27:$AG$123,D$137,FALSE)</f>
        <v>0</v>
      </c>
      <c r="E205" s="14">
        <f>VLOOKUP(Vlookup!$B170,'CDCM Volume Forecasts'!$A$27:$AG$123,E$137,FALSE)</f>
        <v>1</v>
      </c>
      <c r="F205" s="8">
        <f>VLOOKUP(Vlookup!$B170,'CDCM Volume Forecasts'!$A$27:$AG$123,F$137,FALSE)</f>
        <v>0</v>
      </c>
      <c r="G205" s="8">
        <f>VLOOKUP(Vlookup!$B170,'CDCM Volume Forecasts'!$A$27:$AG$123,G$137,FALSE)</f>
        <v>0</v>
      </c>
      <c r="H205" s="10"/>
      <c r="I205"/>
      <c r="J205"/>
      <c r="K205"/>
    </row>
    <row r="206" spans="1:11" ht="15">
      <c r="A206" s="11" t="s">
        <v>186</v>
      </c>
      <c r="B206" s="4">
        <f>VLOOKUP(Vlookup!$B171,'CDCM Volume Forecasts'!$A$27:$AG$123,B$137,FALSE)</f>
        <v>0</v>
      </c>
      <c r="C206" s="8">
        <f>VLOOKUP(Vlookup!$B171,'CDCM Volume Forecasts'!$A$27:$AG$123,C$137,FALSE)</f>
        <v>0</v>
      </c>
      <c r="D206" s="8">
        <f>VLOOKUP(Vlookup!$B171,'CDCM Volume Forecasts'!$A$27:$AG$123,D$137,FALSE)</f>
        <v>0</v>
      </c>
      <c r="E206" s="14">
        <f>VLOOKUP(Vlookup!$B171,'CDCM Volume Forecasts'!$A$27:$AG$123,E$137,FALSE)</f>
        <v>0</v>
      </c>
      <c r="F206" s="8">
        <f>VLOOKUP(Vlookup!$B171,'CDCM Volume Forecasts'!$A$27:$AG$123,F$137,FALSE)</f>
        <v>0</v>
      </c>
      <c r="G206" s="8">
        <f>VLOOKUP(Vlookup!$B171,'CDCM Volume Forecasts'!$A$27:$AG$123,G$137,FALSE)</f>
        <v>0</v>
      </c>
      <c r="H206" s="10"/>
      <c r="I206"/>
      <c r="J206"/>
      <c r="K206"/>
    </row>
    <row r="207" spans="1:11" ht="15">
      <c r="A207" s="11" t="s">
        <v>187</v>
      </c>
      <c r="B207" s="4">
        <f>VLOOKUP(Vlookup!$B172,'CDCM Volume Forecasts'!$A$27:$AG$123,B$137,FALSE)</f>
        <v>0</v>
      </c>
      <c r="C207" s="8">
        <f>VLOOKUP(Vlookup!$B172,'CDCM Volume Forecasts'!$A$27:$AG$123,C$137,FALSE)</f>
        <v>0</v>
      </c>
      <c r="D207" s="8">
        <f>VLOOKUP(Vlookup!$B172,'CDCM Volume Forecasts'!$A$27:$AG$123,D$137,FALSE)</f>
        <v>0</v>
      </c>
      <c r="E207" s="14">
        <f>VLOOKUP(Vlookup!$B172,'CDCM Volume Forecasts'!$A$27:$AG$123,E$137,FALSE)</f>
        <v>0</v>
      </c>
      <c r="F207" s="8">
        <f>VLOOKUP(Vlookup!$B172,'CDCM Volume Forecasts'!$A$27:$AG$123,F$137,FALSE)</f>
        <v>0</v>
      </c>
      <c r="G207" s="8">
        <f>VLOOKUP(Vlookup!$B172,'CDCM Volume Forecasts'!$A$27:$AG$123,G$137,FALSE)</f>
        <v>0</v>
      </c>
      <c r="H207" s="10"/>
      <c r="I207"/>
      <c r="J207"/>
      <c r="K207"/>
    </row>
    <row r="208" spans="1:11" ht="15">
      <c r="A208" s="17" t="s">
        <v>188</v>
      </c>
      <c r="B208" s="18">
        <f>VLOOKUP(Vlookup!$B173,'CDCM Volume Forecasts'!$A$27:$AG$123,B$137,FALSE)</f>
        <v>0</v>
      </c>
      <c r="C208" s="18">
        <f>VLOOKUP(Vlookup!$B173,'CDCM Volume Forecasts'!$A$27:$AG$123,C$137,FALSE)</f>
        <v>0</v>
      </c>
      <c r="D208" s="18">
        <f>VLOOKUP(Vlookup!$B173,'CDCM Volume Forecasts'!$A$27:$AG$123,D$137,FALSE)</f>
        <v>0</v>
      </c>
      <c r="E208" s="18">
        <f>VLOOKUP(Vlookup!$B173,'CDCM Volume Forecasts'!$A$27:$AG$123,E$137,FALSE)</f>
        <v>0</v>
      </c>
      <c r="F208" s="18">
        <f>VLOOKUP(Vlookup!$B173,'CDCM Volume Forecasts'!$A$27:$AG$123,F$137,FALSE)</f>
        <v>0</v>
      </c>
      <c r="G208" s="18">
        <f>VLOOKUP(Vlookup!$B173,'CDCM Volume Forecasts'!$A$27:$AG$123,G$137,FALSE)</f>
        <v>0</v>
      </c>
      <c r="H208" s="10"/>
      <c r="I208"/>
      <c r="J208"/>
      <c r="K208"/>
    </row>
    <row r="209" spans="1:11" ht="15">
      <c r="A209" s="11" t="s">
        <v>135</v>
      </c>
      <c r="B209" s="4">
        <f>VLOOKUP(Vlookup!$B174,'CDCM Volume Forecasts'!$A$27:$AG$123,B$137,FALSE)</f>
        <v>6228.0959976775684</v>
      </c>
      <c r="C209" s="4">
        <f>VLOOKUP(Vlookup!$B174,'CDCM Volume Forecasts'!$A$27:$AG$123,C$137,FALSE)</f>
        <v>35918.74585465651</v>
      </c>
      <c r="D209" s="4">
        <f>VLOOKUP(Vlookup!$B174,'CDCM Volume Forecasts'!$A$27:$AG$123,D$137,FALSE)</f>
        <v>102458.54632787764</v>
      </c>
      <c r="E209" s="14">
        <f>VLOOKUP(Vlookup!$B174,'CDCM Volume Forecasts'!$A$27:$AG$123,E$137,FALSE)</f>
        <v>26</v>
      </c>
      <c r="F209" s="8">
        <f>VLOOKUP(Vlookup!$B174,'CDCM Volume Forecasts'!$A$27:$AG$123,F$137,FALSE)</f>
        <v>0</v>
      </c>
      <c r="G209" s="8">
        <f>VLOOKUP(Vlookup!$B174,'CDCM Volume Forecasts'!$A$27:$AG$123,G$137,FALSE)</f>
        <v>0</v>
      </c>
      <c r="H209" s="10"/>
      <c r="I209"/>
      <c r="J209"/>
      <c r="K209"/>
    </row>
    <row r="210" spans="1:11" ht="15">
      <c r="A210" s="11" t="s">
        <v>189</v>
      </c>
      <c r="B210" s="4">
        <f>VLOOKUP(Vlookup!$B175,'CDCM Volume Forecasts'!$A$27:$AG$123,B$137,FALSE)</f>
        <v>0</v>
      </c>
      <c r="C210" s="4">
        <f>VLOOKUP(Vlookup!$B175,'CDCM Volume Forecasts'!$A$27:$AG$123,C$137,FALSE)</f>
        <v>0</v>
      </c>
      <c r="D210" s="4">
        <f>VLOOKUP(Vlookup!$B175,'CDCM Volume Forecasts'!$A$27:$AG$123,D$137,FALSE)</f>
        <v>0</v>
      </c>
      <c r="E210" s="14">
        <f>VLOOKUP(Vlookup!$B175,'CDCM Volume Forecasts'!$A$27:$AG$123,E$137,FALSE)</f>
        <v>0</v>
      </c>
      <c r="F210" s="8">
        <f>VLOOKUP(Vlookup!$B175,'CDCM Volume Forecasts'!$A$27:$AG$123,F$137,FALSE)</f>
        <v>0</v>
      </c>
      <c r="G210" s="8">
        <f>VLOOKUP(Vlookup!$B175,'CDCM Volume Forecasts'!$A$27:$AG$123,G$137,FALSE)</f>
        <v>0</v>
      </c>
      <c r="H210" s="10"/>
      <c r="I210"/>
      <c r="J210"/>
      <c r="K210"/>
    </row>
    <row r="211" spans="1:11" ht="15">
      <c r="A211" s="11" t="s">
        <v>190</v>
      </c>
      <c r="B211" s="4">
        <f>VLOOKUP(Vlookup!$B176,'CDCM Volume Forecasts'!$A$27:$AG$123,B$137,FALSE)</f>
        <v>0</v>
      </c>
      <c r="C211" s="4">
        <f>VLOOKUP(Vlookup!$B176,'CDCM Volume Forecasts'!$A$27:$AG$123,C$137,FALSE)</f>
        <v>0</v>
      </c>
      <c r="D211" s="4">
        <f>VLOOKUP(Vlookup!$B176,'CDCM Volume Forecasts'!$A$27:$AG$123,D$137,FALSE)</f>
        <v>0</v>
      </c>
      <c r="E211" s="14">
        <f>VLOOKUP(Vlookup!$B176,'CDCM Volume Forecasts'!$A$27:$AG$123,E$137,FALSE)</f>
        <v>0</v>
      </c>
      <c r="F211" s="8">
        <f>VLOOKUP(Vlookup!$B176,'CDCM Volume Forecasts'!$A$27:$AG$123,F$137,FALSE)</f>
        <v>0</v>
      </c>
      <c r="G211" s="8">
        <f>VLOOKUP(Vlookup!$B176,'CDCM Volume Forecasts'!$A$27:$AG$123,G$137,FALSE)</f>
        <v>0</v>
      </c>
      <c r="H211" s="10"/>
      <c r="I211"/>
      <c r="J211"/>
      <c r="K211"/>
    </row>
    <row r="212" spans="1:11" ht="15">
      <c r="A212" s="17" t="s">
        <v>1648</v>
      </c>
      <c r="B212" s="18">
        <f>VLOOKUP(Vlookup!$B177,'CDCM Volume Forecasts'!$A$27:$AG$123,B$137,FALSE)</f>
        <v>0</v>
      </c>
      <c r="C212" s="18">
        <f>VLOOKUP(Vlookup!$B177,'CDCM Volume Forecasts'!$A$27:$AG$123,C$137,FALSE)</f>
        <v>0</v>
      </c>
      <c r="D212" s="18">
        <f>VLOOKUP(Vlookup!$B177,'CDCM Volume Forecasts'!$A$27:$AG$123,D$137,FALSE)</f>
        <v>0</v>
      </c>
      <c r="E212" s="18">
        <f>VLOOKUP(Vlookup!$B177,'CDCM Volume Forecasts'!$A$27:$AG$123,E$137,FALSE)</f>
        <v>0</v>
      </c>
      <c r="F212" s="18">
        <f>VLOOKUP(Vlookup!$B177,'CDCM Volume Forecasts'!$A$27:$AG$123,F$137,FALSE)</f>
        <v>0</v>
      </c>
      <c r="G212" s="18">
        <f>VLOOKUP(Vlookup!$B177,'CDCM Volume Forecasts'!$A$27:$AG$123,G$137,FALSE)</f>
        <v>0</v>
      </c>
      <c r="H212" s="10"/>
      <c r="I212"/>
      <c r="J212"/>
      <c r="K212"/>
    </row>
    <row r="213" spans="1:11" ht="15">
      <c r="A213" s="11" t="s">
        <v>1645</v>
      </c>
      <c r="B213" s="4">
        <f>VLOOKUP(Vlookup!$B178,'CDCM Volume Forecasts'!$A$27:$AG$123,B$137,FALSE)</f>
        <v>602.29748729184382</v>
      </c>
      <c r="C213" s="8">
        <f>VLOOKUP(Vlookup!$B178,'CDCM Volume Forecasts'!$A$27:$AG$123,C$137,FALSE)</f>
        <v>0</v>
      </c>
      <c r="D213" s="8">
        <f>VLOOKUP(Vlookup!$B178,'CDCM Volume Forecasts'!$A$27:$AG$123,D$137,FALSE)</f>
        <v>0</v>
      </c>
      <c r="E213" s="14">
        <f>VLOOKUP(Vlookup!$B178,'CDCM Volume Forecasts'!$A$27:$AG$123,E$137,FALSE)</f>
        <v>130</v>
      </c>
      <c r="F213" s="8">
        <f>VLOOKUP(Vlookup!$B178,'CDCM Volume Forecasts'!$A$27:$AG$123,F$137,FALSE)</f>
        <v>0</v>
      </c>
      <c r="G213" s="8">
        <f>VLOOKUP(Vlookup!$B178,'CDCM Volume Forecasts'!$A$27:$AG$123,G$137,FALSE)</f>
        <v>0</v>
      </c>
      <c r="H213" s="10"/>
      <c r="I213"/>
      <c r="J213"/>
      <c r="K213"/>
    </row>
    <row r="214" spans="1:11" ht="15">
      <c r="A214" s="11" t="s">
        <v>1642</v>
      </c>
      <c r="B214" s="4">
        <f>VLOOKUP(Vlookup!$B179,'CDCM Volume Forecasts'!$A$27:$AG$123,B$137,FALSE)</f>
        <v>0</v>
      </c>
      <c r="C214" s="8">
        <f>VLOOKUP(Vlookup!$B179,'CDCM Volume Forecasts'!$A$27:$AG$123,C$137,FALSE)</f>
        <v>0</v>
      </c>
      <c r="D214" s="8">
        <f>VLOOKUP(Vlookup!$B179,'CDCM Volume Forecasts'!$A$27:$AG$123,D$137,FALSE)</f>
        <v>0</v>
      </c>
      <c r="E214" s="14">
        <f>VLOOKUP(Vlookup!$B179,'CDCM Volume Forecasts'!$A$27:$AG$123,E$137,FALSE)</f>
        <v>0</v>
      </c>
      <c r="F214" s="8">
        <f>VLOOKUP(Vlookup!$B179,'CDCM Volume Forecasts'!$A$27:$AG$123,F$137,FALSE)</f>
        <v>0</v>
      </c>
      <c r="G214" s="8">
        <f>VLOOKUP(Vlookup!$B179,'CDCM Volume Forecasts'!$A$27:$AG$123,G$137,FALSE)</f>
        <v>0</v>
      </c>
      <c r="H214" s="10"/>
      <c r="I214"/>
      <c r="J214"/>
      <c r="K214"/>
    </row>
    <row r="215" spans="1:11" ht="15">
      <c r="A215" s="11" t="s">
        <v>1639</v>
      </c>
      <c r="B215" s="4">
        <f>VLOOKUP(Vlookup!$B180,'CDCM Volume Forecasts'!$A$27:$AG$123,B$137,FALSE)</f>
        <v>0</v>
      </c>
      <c r="C215" s="8">
        <f>VLOOKUP(Vlookup!$B180,'CDCM Volume Forecasts'!$A$27:$AG$123,C$137,FALSE)</f>
        <v>0</v>
      </c>
      <c r="D215" s="8">
        <f>VLOOKUP(Vlookup!$B180,'CDCM Volume Forecasts'!$A$27:$AG$123,D$137,FALSE)</f>
        <v>0</v>
      </c>
      <c r="E215" s="14">
        <f>VLOOKUP(Vlookup!$B180,'CDCM Volume Forecasts'!$A$27:$AG$123,E$137,FALSE)</f>
        <v>0</v>
      </c>
      <c r="F215" s="8">
        <f>VLOOKUP(Vlookup!$B180,'CDCM Volume Forecasts'!$A$27:$AG$123,F$137,FALSE)</f>
        <v>0</v>
      </c>
      <c r="G215" s="8">
        <f>VLOOKUP(Vlookup!$B180,'CDCM Volume Forecasts'!$A$27:$AG$123,G$137,FALSE)</f>
        <v>0</v>
      </c>
      <c r="H215" s="10"/>
      <c r="I215"/>
      <c r="J215"/>
      <c r="K215"/>
    </row>
    <row r="216" spans="1:11" ht="15">
      <c r="A216" s="17" t="s">
        <v>191</v>
      </c>
      <c r="B216" s="18">
        <f>VLOOKUP(Vlookup!$B181,'CDCM Volume Forecasts'!$A$27:$AG$123,B$137,FALSE)</f>
        <v>0</v>
      </c>
      <c r="C216" s="18">
        <f>VLOOKUP(Vlookup!$B181,'CDCM Volume Forecasts'!$A$27:$AG$123,C$137,FALSE)</f>
        <v>0</v>
      </c>
      <c r="D216" s="18">
        <f>VLOOKUP(Vlookup!$B181,'CDCM Volume Forecasts'!$A$27:$AG$123,D$137,FALSE)</f>
        <v>0</v>
      </c>
      <c r="E216" s="18">
        <f>VLOOKUP(Vlookup!$B181,'CDCM Volume Forecasts'!$A$27:$AG$123,E$137,FALSE)</f>
        <v>0</v>
      </c>
      <c r="F216" s="18">
        <f>VLOOKUP(Vlookup!$B181,'CDCM Volume Forecasts'!$A$27:$AG$123,F$137,FALSE)</f>
        <v>0</v>
      </c>
      <c r="G216" s="18">
        <f>VLOOKUP(Vlookup!$B181,'CDCM Volume Forecasts'!$A$27:$AG$123,G$137,FALSE)</f>
        <v>0</v>
      </c>
      <c r="H216" s="10"/>
      <c r="I216"/>
      <c r="J216"/>
      <c r="K216"/>
    </row>
    <row r="217" spans="1:11" ht="15">
      <c r="A217" s="11" t="s">
        <v>100</v>
      </c>
      <c r="B217" s="4">
        <f>VLOOKUP(Vlookup!$B182,'CDCM Volume Forecasts'!$A$27:$AG$123,B$137,FALSE)</f>
        <v>0</v>
      </c>
      <c r="C217" s="8">
        <f>VLOOKUP(Vlookup!$B182,'CDCM Volume Forecasts'!$A$27:$AG$123,C$137,FALSE)</f>
        <v>0</v>
      </c>
      <c r="D217" s="8">
        <f>VLOOKUP(Vlookup!$B182,'CDCM Volume Forecasts'!$A$27:$AG$123,D$137,FALSE)</f>
        <v>0</v>
      </c>
      <c r="E217" s="14">
        <f>VLOOKUP(Vlookup!$B182,'CDCM Volume Forecasts'!$A$27:$AG$123,E$137,FALSE)</f>
        <v>0</v>
      </c>
      <c r="F217" s="8">
        <f>VLOOKUP(Vlookup!$B182,'CDCM Volume Forecasts'!$A$27:$AG$123,F$137,FALSE)</f>
        <v>0</v>
      </c>
      <c r="G217" s="8">
        <f>VLOOKUP(Vlookup!$B182,'CDCM Volume Forecasts'!$A$27:$AG$123,G$137,FALSE)</f>
        <v>0</v>
      </c>
      <c r="H217" s="10"/>
      <c r="I217"/>
      <c r="J217"/>
      <c r="K217"/>
    </row>
    <row r="218" spans="1:11" ht="15">
      <c r="A218" s="11" t="s">
        <v>192</v>
      </c>
      <c r="B218" s="4">
        <f>VLOOKUP(Vlookup!$B183,'CDCM Volume Forecasts'!$A$27:$AG$123,B$137,FALSE)</f>
        <v>0</v>
      </c>
      <c r="C218" s="8">
        <f>VLOOKUP(Vlookup!$B183,'CDCM Volume Forecasts'!$A$27:$AG$123,C$137,FALSE)</f>
        <v>0</v>
      </c>
      <c r="D218" s="8">
        <f>VLOOKUP(Vlookup!$B183,'CDCM Volume Forecasts'!$A$27:$AG$123,D$137,FALSE)</f>
        <v>0</v>
      </c>
      <c r="E218" s="14">
        <f>VLOOKUP(Vlookup!$B183,'CDCM Volume Forecasts'!$A$27:$AG$123,E$137,FALSE)</f>
        <v>0</v>
      </c>
      <c r="F218" s="8">
        <f>VLOOKUP(Vlookup!$B183,'CDCM Volume Forecasts'!$A$27:$AG$123,F$137,FALSE)</f>
        <v>0</v>
      </c>
      <c r="G218" s="8">
        <f>VLOOKUP(Vlookup!$B183,'CDCM Volume Forecasts'!$A$27:$AG$123,G$137,FALSE)</f>
        <v>0</v>
      </c>
      <c r="H218" s="10"/>
      <c r="I218"/>
      <c r="J218"/>
      <c r="K218"/>
    </row>
    <row r="219" spans="1:11" ht="15">
      <c r="A219" s="17" t="s">
        <v>193</v>
      </c>
      <c r="B219" s="18">
        <f>VLOOKUP(Vlookup!$B184,'CDCM Volume Forecasts'!$A$27:$AG$123,B$137,FALSE)</f>
        <v>0</v>
      </c>
      <c r="C219" s="18">
        <f>VLOOKUP(Vlookup!$B184,'CDCM Volume Forecasts'!$A$27:$AG$123,C$137,FALSE)</f>
        <v>0</v>
      </c>
      <c r="D219" s="18">
        <f>VLOOKUP(Vlookup!$B184,'CDCM Volume Forecasts'!$A$27:$AG$123,D$137,FALSE)</f>
        <v>0</v>
      </c>
      <c r="E219" s="18">
        <f>VLOOKUP(Vlookup!$B184,'CDCM Volume Forecasts'!$A$27:$AG$123,E$137,FALSE)</f>
        <v>0</v>
      </c>
      <c r="F219" s="18">
        <f>VLOOKUP(Vlookup!$B184,'CDCM Volume Forecasts'!$A$27:$AG$123,F$137,FALSE)</f>
        <v>0</v>
      </c>
      <c r="G219" s="18">
        <f>VLOOKUP(Vlookup!$B184,'CDCM Volume Forecasts'!$A$27:$AG$123,G$137,FALSE)</f>
        <v>0</v>
      </c>
      <c r="H219" s="10"/>
      <c r="I219"/>
      <c r="J219"/>
      <c r="K219"/>
    </row>
    <row r="220" spans="1:11" ht="15">
      <c r="A220" s="11" t="s">
        <v>101</v>
      </c>
      <c r="B220" s="4">
        <f>VLOOKUP(Vlookup!$B185,'CDCM Volume Forecasts'!$A$27:$AG$123,B$137,FALSE)</f>
        <v>9529.9504738031992</v>
      </c>
      <c r="C220" s="8">
        <f>VLOOKUP(Vlookup!$B185,'CDCM Volume Forecasts'!$A$27:$AG$123,C$137,FALSE)</f>
        <v>0</v>
      </c>
      <c r="D220" s="8">
        <f>VLOOKUP(Vlookup!$B185,'CDCM Volume Forecasts'!$A$27:$AG$123,D$137,FALSE)</f>
        <v>0</v>
      </c>
      <c r="E220" s="14">
        <f>VLOOKUP(Vlookup!$B185,'CDCM Volume Forecasts'!$A$27:$AG$123,E$137,FALSE)</f>
        <v>146</v>
      </c>
      <c r="F220" s="8">
        <f>VLOOKUP(Vlookup!$B185,'CDCM Volume Forecasts'!$A$27:$AG$123,F$137,FALSE)</f>
        <v>0</v>
      </c>
      <c r="G220" s="4">
        <f>VLOOKUP(Vlookup!$B185,'CDCM Volume Forecasts'!$A$27:$AG$123,G$137,FALSE)</f>
        <v>338</v>
      </c>
      <c r="H220" s="10"/>
      <c r="I220"/>
      <c r="J220"/>
      <c r="K220"/>
    </row>
    <row r="221" spans="1:11" ht="15">
      <c r="A221" s="11" t="s">
        <v>194</v>
      </c>
      <c r="B221" s="4">
        <f>VLOOKUP(Vlookup!$B186,'CDCM Volume Forecasts'!$A$27:$AG$123,B$137,FALSE)</f>
        <v>0</v>
      </c>
      <c r="C221" s="8">
        <f>VLOOKUP(Vlookup!$B186,'CDCM Volume Forecasts'!$A$27:$AG$123,C$137,FALSE)</f>
        <v>0</v>
      </c>
      <c r="D221" s="8">
        <f>VLOOKUP(Vlookup!$B186,'CDCM Volume Forecasts'!$A$27:$AG$123,D$137,FALSE)</f>
        <v>0</v>
      </c>
      <c r="E221" s="14">
        <f>VLOOKUP(Vlookup!$B186,'CDCM Volume Forecasts'!$A$27:$AG$123,E$137,FALSE)</f>
        <v>0</v>
      </c>
      <c r="F221" s="8">
        <f>VLOOKUP(Vlookup!$B186,'CDCM Volume Forecasts'!$A$27:$AG$123,F$137,FALSE)</f>
        <v>0</v>
      </c>
      <c r="G221" s="4">
        <f>VLOOKUP(Vlookup!$B186,'CDCM Volume Forecasts'!$A$27:$AG$123,G$137,FALSE)</f>
        <v>0</v>
      </c>
      <c r="H221" s="10"/>
      <c r="I221"/>
      <c r="J221"/>
      <c r="K221"/>
    </row>
    <row r="222" spans="1:11" ht="15">
      <c r="A222" s="11" t="s">
        <v>195</v>
      </c>
      <c r="B222" s="4">
        <f>VLOOKUP(Vlookup!$B187,'CDCM Volume Forecasts'!$A$27:$AG$123,B$137,FALSE)</f>
        <v>0</v>
      </c>
      <c r="C222" s="8">
        <f>VLOOKUP(Vlookup!$B187,'CDCM Volume Forecasts'!$A$27:$AG$123,C$137,FALSE)</f>
        <v>0</v>
      </c>
      <c r="D222" s="8">
        <f>VLOOKUP(Vlookup!$B187,'CDCM Volume Forecasts'!$A$27:$AG$123,D$137,FALSE)</f>
        <v>0</v>
      </c>
      <c r="E222" s="14">
        <f>VLOOKUP(Vlookup!$B187,'CDCM Volume Forecasts'!$A$27:$AG$123,E$137,FALSE)</f>
        <v>0</v>
      </c>
      <c r="F222" s="8">
        <f>VLOOKUP(Vlookup!$B187,'CDCM Volume Forecasts'!$A$27:$AG$123,F$137,FALSE)</f>
        <v>0</v>
      </c>
      <c r="G222" s="4">
        <f>VLOOKUP(Vlookup!$B187,'CDCM Volume Forecasts'!$A$27:$AG$123,G$137,FALSE)</f>
        <v>0</v>
      </c>
      <c r="H222" s="10"/>
      <c r="I222"/>
      <c r="J222"/>
      <c r="K222"/>
    </row>
    <row r="223" spans="1:11" ht="15">
      <c r="A223" s="17" t="s">
        <v>196</v>
      </c>
      <c r="B223" s="18">
        <f>VLOOKUP(Vlookup!$B188,'CDCM Volume Forecasts'!$A$27:$AG$123,B$137,FALSE)</f>
        <v>0</v>
      </c>
      <c r="C223" s="18">
        <f>VLOOKUP(Vlookup!$B188,'CDCM Volume Forecasts'!$A$27:$AG$123,C$137,FALSE)</f>
        <v>0</v>
      </c>
      <c r="D223" s="18">
        <f>VLOOKUP(Vlookup!$B188,'CDCM Volume Forecasts'!$A$27:$AG$123,D$137,FALSE)</f>
        <v>0</v>
      </c>
      <c r="E223" s="18">
        <f>VLOOKUP(Vlookup!$B188,'CDCM Volume Forecasts'!$A$27:$AG$123,E$137,FALSE)</f>
        <v>0</v>
      </c>
      <c r="F223" s="18">
        <f>VLOOKUP(Vlookup!$B188,'CDCM Volume Forecasts'!$A$27:$AG$123,F$137,FALSE)</f>
        <v>0</v>
      </c>
      <c r="G223" s="18">
        <f>VLOOKUP(Vlookup!$B188,'CDCM Volume Forecasts'!$A$27:$AG$123,G$137,FALSE)</f>
        <v>0</v>
      </c>
      <c r="H223" s="10"/>
      <c r="I223"/>
      <c r="J223"/>
      <c r="K223"/>
    </row>
    <row r="224" spans="1:11" ht="15">
      <c r="A224" s="11" t="s">
        <v>102</v>
      </c>
      <c r="B224" s="4">
        <f>VLOOKUP(Vlookup!$B189,'CDCM Volume Forecasts'!$A$27:$AG$123,B$137,FALSE)</f>
        <v>130.2286029240839</v>
      </c>
      <c r="C224" s="4">
        <f>VLOOKUP(Vlookup!$B189,'CDCM Volume Forecasts'!$A$27:$AG$123,C$137,FALSE)</f>
        <v>867.1493329537202</v>
      </c>
      <c r="D224" s="4">
        <f>VLOOKUP(Vlookup!$B189,'CDCM Volume Forecasts'!$A$27:$AG$123,D$137,FALSE)</f>
        <v>897.89995991983972</v>
      </c>
      <c r="E224" s="14">
        <f>VLOOKUP(Vlookup!$B189,'CDCM Volume Forecasts'!$A$27:$AG$123,E$137,FALSE)</f>
        <v>11</v>
      </c>
      <c r="F224" s="8">
        <f>VLOOKUP(Vlookup!$B189,'CDCM Volume Forecasts'!$A$27:$AG$123,F$137,FALSE)</f>
        <v>0</v>
      </c>
      <c r="G224" s="4">
        <f>VLOOKUP(Vlookup!$B189,'CDCM Volume Forecasts'!$A$27:$AG$123,G$137,FALSE)</f>
        <v>31</v>
      </c>
      <c r="H224" s="10"/>
      <c r="I224"/>
      <c r="J224"/>
      <c r="K224"/>
    </row>
    <row r="225" spans="1:11" ht="15">
      <c r="A225" s="11" t="s">
        <v>197</v>
      </c>
      <c r="B225" s="4">
        <f>VLOOKUP(Vlookup!$B190,'CDCM Volume Forecasts'!$A$27:$AG$123,B$137,FALSE)</f>
        <v>0</v>
      </c>
      <c r="C225" s="4">
        <f>VLOOKUP(Vlookup!$B190,'CDCM Volume Forecasts'!$A$27:$AG$123,C$137,FALSE)</f>
        <v>0</v>
      </c>
      <c r="D225" s="4">
        <f>VLOOKUP(Vlookup!$B190,'CDCM Volume Forecasts'!$A$27:$AG$123,D$137,FALSE)</f>
        <v>0</v>
      </c>
      <c r="E225" s="14">
        <f>VLOOKUP(Vlookup!$B190,'CDCM Volume Forecasts'!$A$27:$AG$123,E$137,FALSE)</f>
        <v>0</v>
      </c>
      <c r="F225" s="8">
        <f>VLOOKUP(Vlookup!$B190,'CDCM Volume Forecasts'!$A$27:$AG$123,F$137,FALSE)</f>
        <v>0</v>
      </c>
      <c r="G225" s="4">
        <f>VLOOKUP(Vlookup!$B190,'CDCM Volume Forecasts'!$A$27:$AG$123,G$137,FALSE)</f>
        <v>0</v>
      </c>
      <c r="H225" s="10"/>
      <c r="I225"/>
      <c r="J225"/>
      <c r="K225"/>
    </row>
    <row r="226" spans="1:11" ht="15">
      <c r="A226" s="11" t="s">
        <v>198</v>
      </c>
      <c r="B226" s="4">
        <f>VLOOKUP(Vlookup!$B191,'CDCM Volume Forecasts'!$A$27:$AG$123,B$137,FALSE)</f>
        <v>0</v>
      </c>
      <c r="C226" s="4">
        <f>VLOOKUP(Vlookup!$B191,'CDCM Volume Forecasts'!$A$27:$AG$123,C$137,FALSE)</f>
        <v>0</v>
      </c>
      <c r="D226" s="4">
        <f>VLOOKUP(Vlookup!$B191,'CDCM Volume Forecasts'!$A$27:$AG$123,D$137,FALSE)</f>
        <v>0</v>
      </c>
      <c r="E226" s="14">
        <f>VLOOKUP(Vlookup!$B191,'CDCM Volume Forecasts'!$A$27:$AG$123,E$137,FALSE)</f>
        <v>0</v>
      </c>
      <c r="F226" s="8">
        <f>VLOOKUP(Vlookup!$B191,'CDCM Volume Forecasts'!$A$27:$AG$123,F$137,FALSE)</f>
        <v>0</v>
      </c>
      <c r="G226" s="4">
        <f>VLOOKUP(Vlookup!$B191,'CDCM Volume Forecasts'!$A$27:$AG$123,G$137,FALSE)</f>
        <v>0</v>
      </c>
      <c r="H226" s="10"/>
      <c r="I226"/>
      <c r="J226"/>
      <c r="K226"/>
    </row>
    <row r="227" spans="1:11" ht="15">
      <c r="A227" s="17" t="s">
        <v>199</v>
      </c>
      <c r="B227" s="18">
        <f>VLOOKUP(Vlookup!$B192,'CDCM Volume Forecasts'!$A$27:$AG$123,B$137,FALSE)</f>
        <v>0</v>
      </c>
      <c r="C227" s="18">
        <f>VLOOKUP(Vlookup!$B192,'CDCM Volume Forecasts'!$A$27:$AG$123,C$137,FALSE)</f>
        <v>0</v>
      </c>
      <c r="D227" s="18">
        <f>VLOOKUP(Vlookup!$B192,'CDCM Volume Forecasts'!$A$27:$AG$123,D$137,FALSE)</f>
        <v>0</v>
      </c>
      <c r="E227" s="18">
        <f>VLOOKUP(Vlookup!$B192,'CDCM Volume Forecasts'!$A$27:$AG$123,E$137,FALSE)</f>
        <v>0</v>
      </c>
      <c r="F227" s="18">
        <f>VLOOKUP(Vlookup!$B192,'CDCM Volume Forecasts'!$A$27:$AG$123,F$137,FALSE)</f>
        <v>0</v>
      </c>
      <c r="G227" s="18">
        <f>VLOOKUP(Vlookup!$B192,'CDCM Volume Forecasts'!$A$27:$AG$123,G$137,FALSE)</f>
        <v>0</v>
      </c>
      <c r="H227" s="10"/>
      <c r="I227"/>
      <c r="J227"/>
      <c r="K227"/>
    </row>
    <row r="228" spans="1:11" customFormat="1" ht="15">
      <c r="A228" s="11" t="s">
        <v>103</v>
      </c>
      <c r="B228" s="4">
        <f>VLOOKUP(Vlookup!$B193,'CDCM Volume Forecasts'!$A$27:$AG$123,B$137,FALSE)</f>
        <v>37.670999999999999</v>
      </c>
      <c r="C228" s="8">
        <f>VLOOKUP(Vlookup!$B193,'CDCM Volume Forecasts'!$A$27:$AG$123,C$137,FALSE)</f>
        <v>0</v>
      </c>
      <c r="D228" s="8">
        <f>VLOOKUP(Vlookup!$B193,'CDCM Volume Forecasts'!$A$27:$AG$123,D$137,FALSE)</f>
        <v>0</v>
      </c>
      <c r="E228" s="14">
        <f>VLOOKUP(Vlookup!$B193,'CDCM Volume Forecasts'!$A$27:$AG$123,E$137,FALSE)</f>
        <v>1</v>
      </c>
      <c r="F228" s="8">
        <f>VLOOKUP(Vlookup!$B193,'CDCM Volume Forecasts'!$A$27:$AG$123,F$137,FALSE)</f>
        <v>0</v>
      </c>
      <c r="G228" s="4">
        <f>VLOOKUP(Vlookup!$B193,'CDCM Volume Forecasts'!$A$27:$AG$123,G$137,FALSE)</f>
        <v>0</v>
      </c>
      <c r="H228" s="10"/>
    </row>
    <row r="229" spans="1:11" customFormat="1" ht="15">
      <c r="A229" s="11" t="s">
        <v>200</v>
      </c>
      <c r="B229" s="4">
        <f>VLOOKUP(Vlookup!$B194,'CDCM Volume Forecasts'!$A$27:$AG$123,B$137,FALSE)</f>
        <v>0</v>
      </c>
      <c r="C229" s="8">
        <f>VLOOKUP(Vlookup!$B194,'CDCM Volume Forecasts'!$A$27:$AG$123,C$137,FALSE)</f>
        <v>0</v>
      </c>
      <c r="D229" s="8">
        <f>VLOOKUP(Vlookup!$B194,'CDCM Volume Forecasts'!$A$27:$AG$123,D$137,FALSE)</f>
        <v>0</v>
      </c>
      <c r="E229" s="14">
        <f>VLOOKUP(Vlookup!$B194,'CDCM Volume Forecasts'!$A$27:$AG$123,E$137,FALSE)</f>
        <v>0</v>
      </c>
      <c r="F229" s="8">
        <f>VLOOKUP(Vlookup!$B194,'CDCM Volume Forecasts'!$A$27:$AG$123,F$137,FALSE)</f>
        <v>0</v>
      </c>
      <c r="G229" s="4">
        <f>VLOOKUP(Vlookup!$B194,'CDCM Volume Forecasts'!$A$27:$AG$123,G$137,FALSE)</f>
        <v>0</v>
      </c>
      <c r="H229" s="10"/>
    </row>
    <row r="230" spans="1:11" customFormat="1" ht="15">
      <c r="A230" s="17" t="s">
        <v>201</v>
      </c>
      <c r="B230" s="18">
        <f>VLOOKUP(Vlookup!$B195,'CDCM Volume Forecasts'!$A$27:$AG$123,B$137,FALSE)</f>
        <v>0</v>
      </c>
      <c r="C230" s="18">
        <f>VLOOKUP(Vlookup!$B195,'CDCM Volume Forecasts'!$A$27:$AG$123,C$137,FALSE)</f>
        <v>0</v>
      </c>
      <c r="D230" s="18">
        <f>VLOOKUP(Vlookup!$B195,'CDCM Volume Forecasts'!$A$27:$AG$123,D$137,FALSE)</f>
        <v>0</v>
      </c>
      <c r="E230" s="18">
        <f>VLOOKUP(Vlookup!$B195,'CDCM Volume Forecasts'!$A$27:$AG$123,E$137,FALSE)</f>
        <v>0</v>
      </c>
      <c r="F230" s="18">
        <f>VLOOKUP(Vlookup!$B195,'CDCM Volume Forecasts'!$A$27:$AG$123,F$137,FALSE)</f>
        <v>0</v>
      </c>
      <c r="G230" s="18">
        <f>VLOOKUP(Vlookup!$B195,'CDCM Volume Forecasts'!$A$27:$AG$123,G$137,FALSE)</f>
        <v>0</v>
      </c>
      <c r="H230" s="10"/>
    </row>
    <row r="231" spans="1:11" customFormat="1" ht="15">
      <c r="A231" s="11" t="s">
        <v>104</v>
      </c>
      <c r="B231" s="4">
        <f>VLOOKUP(Vlookup!$B196,'CDCM Volume Forecasts'!$A$27:$AG$123,B$137,FALSE)</f>
        <v>0</v>
      </c>
      <c r="C231" s="4">
        <f>VLOOKUP(Vlookup!$B196,'CDCM Volume Forecasts'!$A$27:$AG$123,C$137,FALSE)</f>
        <v>0</v>
      </c>
      <c r="D231" s="4">
        <f>VLOOKUP(Vlookup!$B196,'CDCM Volume Forecasts'!$A$27:$AG$123,D$137,FALSE)</f>
        <v>0</v>
      </c>
      <c r="E231" s="14">
        <f>VLOOKUP(Vlookup!$B196,'CDCM Volume Forecasts'!$A$27:$AG$123,E$137,FALSE)</f>
        <v>0</v>
      </c>
      <c r="F231" s="8">
        <f>VLOOKUP(Vlookup!$B196,'CDCM Volume Forecasts'!$A$27:$AG$123,F$137,FALSE)</f>
        <v>0</v>
      </c>
      <c r="G231" s="4">
        <f>VLOOKUP(Vlookup!$B196,'CDCM Volume Forecasts'!$A$27:$AG$123,G$137,FALSE)</f>
        <v>0</v>
      </c>
      <c r="H231" s="10"/>
    </row>
    <row r="232" spans="1:11" customFormat="1" ht="15">
      <c r="A232" s="11" t="s">
        <v>202</v>
      </c>
      <c r="B232" s="4">
        <f>VLOOKUP(Vlookup!$B197,'CDCM Volume Forecasts'!$A$27:$AG$123,B$137,FALSE)</f>
        <v>0</v>
      </c>
      <c r="C232" s="4">
        <f>VLOOKUP(Vlookup!$B197,'CDCM Volume Forecasts'!$A$27:$AG$123,C$137,FALSE)</f>
        <v>0</v>
      </c>
      <c r="D232" s="4">
        <f>VLOOKUP(Vlookup!$B197,'CDCM Volume Forecasts'!$A$27:$AG$123,D$137,FALSE)</f>
        <v>0</v>
      </c>
      <c r="E232" s="14">
        <f>VLOOKUP(Vlookup!$B197,'CDCM Volume Forecasts'!$A$27:$AG$123,E$137,FALSE)</f>
        <v>0</v>
      </c>
      <c r="F232" s="8">
        <f>VLOOKUP(Vlookup!$B197,'CDCM Volume Forecasts'!$A$27:$AG$123,F$137,FALSE)</f>
        <v>0</v>
      </c>
      <c r="G232" s="4">
        <f>VLOOKUP(Vlookup!$B197,'CDCM Volume Forecasts'!$A$27:$AG$123,G$137,FALSE)</f>
        <v>0</v>
      </c>
      <c r="H232" s="10"/>
    </row>
    <row r="233" spans="1:11" customFormat="1" ht="15">
      <c r="A233" s="17" t="s">
        <v>203</v>
      </c>
      <c r="B233" s="18">
        <f>VLOOKUP(Vlookup!$B198,'CDCM Volume Forecasts'!$A$27:$AG$123,B$137,FALSE)</f>
        <v>0</v>
      </c>
      <c r="C233" s="18">
        <f>VLOOKUP(Vlookup!$B198,'CDCM Volume Forecasts'!$A$27:$AG$123,C$137,FALSE)</f>
        <v>0</v>
      </c>
      <c r="D233" s="18">
        <f>VLOOKUP(Vlookup!$B198,'CDCM Volume Forecasts'!$A$27:$AG$123,D$137,FALSE)</f>
        <v>0</v>
      </c>
      <c r="E233" s="18">
        <f>VLOOKUP(Vlookup!$B198,'CDCM Volume Forecasts'!$A$27:$AG$123,E$137,FALSE)</f>
        <v>0</v>
      </c>
      <c r="F233" s="18">
        <f>VLOOKUP(Vlookup!$B198,'CDCM Volume Forecasts'!$A$27:$AG$123,F$137,FALSE)</f>
        <v>0</v>
      </c>
      <c r="G233" s="18">
        <f>VLOOKUP(Vlookup!$B198,'CDCM Volume Forecasts'!$A$27:$AG$123,G$137,FALSE)</f>
        <v>0</v>
      </c>
      <c r="H233" s="10"/>
    </row>
    <row r="234" spans="1:11" customFormat="1" ht="15">
      <c r="A234" s="11" t="s">
        <v>112</v>
      </c>
      <c r="B234" s="4">
        <f>VLOOKUP(Vlookup!$B199,'CDCM Volume Forecasts'!$A$27:$AG$123,B$137,FALSE)</f>
        <v>44577.689286771631</v>
      </c>
      <c r="C234" s="8">
        <f>VLOOKUP(Vlookup!$B199,'CDCM Volume Forecasts'!$A$27:$AG$123,C$137,FALSE)</f>
        <v>0</v>
      </c>
      <c r="D234" s="8">
        <f>VLOOKUP(Vlookup!$B199,'CDCM Volume Forecasts'!$A$27:$AG$123,D$137,FALSE)</f>
        <v>0</v>
      </c>
      <c r="E234" s="14">
        <f>VLOOKUP(Vlookup!$B199,'CDCM Volume Forecasts'!$A$27:$AG$123,E$137,FALSE)</f>
        <v>27</v>
      </c>
      <c r="F234" s="8">
        <f>VLOOKUP(Vlookup!$B199,'CDCM Volume Forecasts'!$A$27:$AG$123,F$137,FALSE)</f>
        <v>0</v>
      </c>
      <c r="G234" s="4">
        <f>VLOOKUP(Vlookup!$B199,'CDCM Volume Forecasts'!$A$27:$AG$123,G$137,FALSE)</f>
        <v>859</v>
      </c>
      <c r="H234" s="10"/>
    </row>
    <row r="235" spans="1:11" customFormat="1" ht="15">
      <c r="A235" s="11" t="s">
        <v>204</v>
      </c>
      <c r="B235" s="4">
        <f>VLOOKUP(Vlookup!$B200,'CDCM Volume Forecasts'!$A$27:$AG$123,B$137,FALSE)</f>
        <v>0</v>
      </c>
      <c r="C235" s="8">
        <f>VLOOKUP(Vlookup!$B200,'CDCM Volume Forecasts'!$A$27:$AG$123,C$137,FALSE)</f>
        <v>0</v>
      </c>
      <c r="D235" s="8">
        <f>VLOOKUP(Vlookup!$B200,'CDCM Volume Forecasts'!$A$27:$AG$123,D$137,FALSE)</f>
        <v>0</v>
      </c>
      <c r="E235" s="14">
        <f>VLOOKUP(Vlookup!$B200,'CDCM Volume Forecasts'!$A$27:$AG$123,E$137,FALSE)</f>
        <v>0</v>
      </c>
      <c r="F235" s="8">
        <f>VLOOKUP(Vlookup!$B200,'CDCM Volume Forecasts'!$A$27:$AG$123,F$137,FALSE)</f>
        <v>0</v>
      </c>
      <c r="G235" s="4">
        <f>VLOOKUP(Vlookup!$B200,'CDCM Volume Forecasts'!$A$27:$AG$123,G$137,FALSE)</f>
        <v>0</v>
      </c>
      <c r="H235" s="10"/>
    </row>
    <row r="236" spans="1:11" customFormat="1" ht="15">
      <c r="A236" s="17" t="s">
        <v>205</v>
      </c>
      <c r="B236" s="18">
        <f>VLOOKUP(Vlookup!$B201,'CDCM Volume Forecasts'!$A$27:$AG$123,B$137,FALSE)</f>
        <v>0</v>
      </c>
      <c r="C236" s="18">
        <f>VLOOKUP(Vlookup!$B201,'CDCM Volume Forecasts'!$A$27:$AG$123,C$137,FALSE)</f>
        <v>0</v>
      </c>
      <c r="D236" s="18">
        <f>VLOOKUP(Vlookup!$B201,'CDCM Volume Forecasts'!$A$27:$AG$123,D$137,FALSE)</f>
        <v>0</v>
      </c>
      <c r="E236" s="18">
        <f>VLOOKUP(Vlookup!$B201,'CDCM Volume Forecasts'!$A$27:$AG$123,E$137,FALSE)</f>
        <v>0</v>
      </c>
      <c r="F236" s="18">
        <f>VLOOKUP(Vlookup!$B201,'CDCM Volume Forecasts'!$A$27:$AG$123,F$137,FALSE)</f>
        <v>0</v>
      </c>
      <c r="G236" s="18">
        <f>VLOOKUP(Vlookup!$B201,'CDCM Volume Forecasts'!$A$27:$AG$123,G$137,FALSE)</f>
        <v>0</v>
      </c>
      <c r="H236" s="10"/>
    </row>
    <row r="237" spans="1:11" ht="15">
      <c r="A237" s="11" t="s">
        <v>113</v>
      </c>
      <c r="B237" s="4">
        <f>VLOOKUP(Vlookup!$B202,'CDCM Volume Forecasts'!$A$27:$AG$123,B$137,FALSE)</f>
        <v>9070.7235647319703</v>
      </c>
      <c r="C237" s="4">
        <f>VLOOKUP(Vlookup!$B202,'CDCM Volume Forecasts'!$A$27:$AG$123,C$137,FALSE)</f>
        <v>44174.558442663067</v>
      </c>
      <c r="D237" s="4">
        <f>VLOOKUP(Vlookup!$B202,'CDCM Volume Forecasts'!$A$27:$AG$123,D$137,FALSE)</f>
        <v>48120.15616862481</v>
      </c>
      <c r="E237" s="14">
        <f>VLOOKUP(Vlookup!$B202,'CDCM Volume Forecasts'!$A$27:$AG$123,E$137,FALSE)</f>
        <v>27</v>
      </c>
      <c r="F237" s="8">
        <f>VLOOKUP(Vlookup!$B202,'CDCM Volume Forecasts'!$A$27:$AG$123,F$137,FALSE)</f>
        <v>0</v>
      </c>
      <c r="G237" s="4">
        <f>VLOOKUP(Vlookup!$B202,'CDCM Volume Forecasts'!$A$27:$AG$123,G$137,FALSE)</f>
        <v>742</v>
      </c>
      <c r="H237" s="10"/>
      <c r="I237"/>
      <c r="J237"/>
      <c r="K237"/>
    </row>
    <row r="238" spans="1:11" ht="15">
      <c r="A238" s="11" t="s">
        <v>206</v>
      </c>
      <c r="B238" s="4">
        <f>VLOOKUP(Vlookup!$B203,'CDCM Volume Forecasts'!$A$27:$AG$123,B$137,FALSE)</f>
        <v>0</v>
      </c>
      <c r="C238" s="4">
        <f>VLOOKUP(Vlookup!$B203,'CDCM Volume Forecasts'!$A$27:$AG$123,C$137,FALSE)</f>
        <v>0</v>
      </c>
      <c r="D238" s="4">
        <f>VLOOKUP(Vlookup!$B203,'CDCM Volume Forecasts'!$A$27:$AG$123,D$137,FALSE)</f>
        <v>0</v>
      </c>
      <c r="E238" s="14">
        <f>VLOOKUP(Vlookup!$B203,'CDCM Volume Forecasts'!$A$27:$AG$123,E$137,FALSE)</f>
        <v>0</v>
      </c>
      <c r="F238" s="8">
        <f>VLOOKUP(Vlookup!$B203,'CDCM Volume Forecasts'!$A$27:$AG$123,F$137,FALSE)</f>
        <v>0</v>
      </c>
      <c r="G238" s="4">
        <f>VLOOKUP(Vlookup!$B203,'CDCM Volume Forecasts'!$A$27:$AG$123,G$137,FALSE)</f>
        <v>0</v>
      </c>
      <c r="H238" s="10"/>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11" t="s">
        <v>209</v>
      </c>
      <c r="B244" s="14">
        <f>VLOOKUP(Vlookup!B209,'CDCM Forecast Data'!$A$14:$I$271,7,FALSE)</f>
        <v>10540279.260344192</v>
      </c>
      <c r="C244" s="10"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11" t="s">
        <v>215</v>
      </c>
      <c r="B249" s="14">
        <f>VLOOKUP(Vlookup!B214,'CDCM Forecast Data'!$A$14:$I$271,7,FALSE)</f>
        <v>19492017.455194209</v>
      </c>
      <c r="C249" s="14">
        <f>VLOOKUP(Vlookup!C214,'CDCM Forecast Data'!$A$14:$I$271,7,FALSE)</f>
        <v>63830737.02526667</v>
      </c>
      <c r="D249" s="16">
        <f>VLOOKUP(Vlookup!D214,'CDCM Forecast Data'!$A$14:$I$271,7,FALSE)</f>
        <v>0.6</v>
      </c>
      <c r="E249" s="14">
        <f>VLOOKUP(Vlookup!E214,'CDCM Forecast Data'!$A$14:$I$271,7,FALSE)</f>
        <v>17248422.849353049</v>
      </c>
      <c r="F249" s="10"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11" t="s">
        <v>228</v>
      </c>
      <c r="B257" s="16">
        <f>VLOOKUP(Vlookup!B222,'CDCM Forecast Data'!$A$14:$I$271,7,FALSE)</f>
        <v>0</v>
      </c>
      <c r="C257" s="16">
        <f>VLOOKUP(Vlookup!C222,'CDCM Forecast Data'!$A$14:$I$271,7,FALSE)</f>
        <v>0</v>
      </c>
      <c r="D257" s="16">
        <f>VLOOKUP(Vlookup!D222,'CDCM Forecast Data'!$A$14:$I$271,7,FALSE)</f>
        <v>0</v>
      </c>
      <c r="E257" s="16">
        <f>VLOOKUP(Vlookup!E222,'CDCM Forecast Data'!$A$14:$I$271,7,FALSE)</f>
        <v>0.75</v>
      </c>
      <c r="F257" s="16">
        <f>VLOOKUP(Vlookup!F222,'CDCM Forecast Data'!$A$14:$I$271,7,FALSE)</f>
        <v>0.75</v>
      </c>
      <c r="G257" s="16">
        <f>VLOOKUP(Vlookup!G222,'CDCM Forecast Data'!$A$14:$I$271,7,FALSE)</f>
        <v>0.75</v>
      </c>
      <c r="H257" s="16">
        <f>VLOOKUP(Vlookup!H222,'CDCM Forecast Data'!$A$14:$I$271,7,FALSE)</f>
        <v>0.95</v>
      </c>
      <c r="I257" s="16">
        <f>VLOOKUP(Vlookup!I222,'CDCM Forecast Data'!$A$14:$I$271,7,FALSE)</f>
        <v>0.95</v>
      </c>
      <c r="J257" s="10" t="s">
        <v>262</v>
      </c>
      <c r="K257"/>
    </row>
    <row r="258" spans="1:11" ht="15">
      <c r="A258" s="11" t="s">
        <v>229</v>
      </c>
      <c r="B258" s="16">
        <f>VLOOKUP(Vlookup!B223,'CDCM Forecast Data'!$A$14:$I$271,7,FALSE)</f>
        <v>0</v>
      </c>
      <c r="C258" s="16">
        <f>VLOOKUP(Vlookup!C223,'CDCM Forecast Data'!$A$14:$I$271,7,FALSE)</f>
        <v>0</v>
      </c>
      <c r="D258" s="16">
        <f>VLOOKUP(Vlookup!D223,'CDCM Forecast Data'!$A$14:$I$271,7,FALSE)</f>
        <v>0</v>
      </c>
      <c r="E258" s="16">
        <f>VLOOKUP(Vlookup!E223,'CDCM Forecast Data'!$A$14:$I$271,7,FALSE)</f>
        <v>0.75</v>
      </c>
      <c r="F258" s="16">
        <f>VLOOKUP(Vlookup!F223,'CDCM Forecast Data'!$A$14:$I$271,7,FALSE)</f>
        <v>0.75</v>
      </c>
      <c r="G258" s="16">
        <f>VLOOKUP(Vlookup!G223,'CDCM Forecast Data'!$A$14:$I$271,7,FALSE)</f>
        <v>0.75</v>
      </c>
      <c r="H258" s="16">
        <f>VLOOKUP(Vlookup!H223,'CDCM Forecast Data'!$A$14:$I$271,7,FALSE)</f>
        <v>0.95</v>
      </c>
      <c r="I258" s="8"/>
      <c r="J258" s="10" t="s">
        <v>262</v>
      </c>
      <c r="K258"/>
    </row>
    <row r="259" spans="1:11" ht="15">
      <c r="A259" s="11" t="s">
        <v>230</v>
      </c>
      <c r="B259" s="16">
        <f>VLOOKUP(Vlookup!B224,'CDCM Forecast Data'!$A$14:$I$271,7,FALSE)</f>
        <v>0</v>
      </c>
      <c r="C259" s="16">
        <f>VLOOKUP(Vlookup!C224,'CDCM Forecast Data'!$A$14:$I$271,7,FALSE)</f>
        <v>0.36</v>
      </c>
      <c r="D259" s="16">
        <f>VLOOKUP(Vlookup!D224,'CDCM Forecast Data'!$A$14:$I$271,7,FALSE)</f>
        <v>0.36</v>
      </c>
      <c r="E259" s="16">
        <f>VLOOKUP(Vlookup!E224,'CDCM Forecast Data'!$A$14:$I$271,7,FALSE)</f>
        <v>0.91</v>
      </c>
      <c r="F259" s="16">
        <f>VLOOKUP(Vlookup!F224,'CDCM Forecast Data'!$A$14:$I$271,7,FALSE)</f>
        <v>0.91</v>
      </c>
      <c r="G259" s="16">
        <f>VLOOKUP(Vlookup!G224,'CDCM Forecast Data'!$A$14:$I$271,7,FALSE)</f>
        <v>0.91</v>
      </c>
      <c r="H259" s="8"/>
      <c r="I259" s="8"/>
      <c r="J259" s="10" t="s">
        <v>262</v>
      </c>
      <c r="K259"/>
    </row>
    <row r="260" spans="1:11" ht="15">
      <c r="A260" s="11" t="s">
        <v>231</v>
      </c>
      <c r="B260" s="16">
        <f>VLOOKUP(Vlookup!B225,'CDCM Forecast Data'!$A$14:$I$271,7,FALSE)</f>
        <v>0</v>
      </c>
      <c r="C260" s="16">
        <f>VLOOKUP(Vlookup!C225,'CDCM Forecast Data'!$A$14:$I$271,7,FALSE)</f>
        <v>0.36</v>
      </c>
      <c r="D260" s="16">
        <f>VLOOKUP(Vlookup!D225,'CDCM Forecast Data'!$A$14:$I$271,7,FALSE)</f>
        <v>0.36</v>
      </c>
      <c r="E260" s="16">
        <f>VLOOKUP(Vlookup!E225,'CDCM Forecast Data'!$A$14:$I$271,7,FALSE)</f>
        <v>0.91</v>
      </c>
      <c r="F260" s="8"/>
      <c r="G260" s="8"/>
      <c r="H260" s="8"/>
      <c r="I260" s="8"/>
      <c r="J260" s="10"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11" t="s">
        <v>92</v>
      </c>
      <c r="B265" s="16">
        <f>VLOOKUP(Vlookup!B235,'CDCM Forecast Data'!$A$14:$I$271,5,FALSE)</f>
        <v>0.11298330820969384</v>
      </c>
      <c r="C265" s="16">
        <f>VLOOKUP(Vlookup!C235,'CDCM Forecast Data'!$A$14:$I$271,5,FALSE)</f>
        <v>0.50223801835264836</v>
      </c>
      <c r="D265" s="16">
        <f>VLOOKUP(Vlookup!D235,'CDCM Forecast Data'!$A$14:$I$271,5,FALSE)</f>
        <v>0.38477867343765787</v>
      </c>
      <c r="E265" s="10" t="s">
        <v>262</v>
      </c>
      <c r="F265"/>
      <c r="G265"/>
      <c r="H265"/>
      <c r="I265"/>
      <c r="J265"/>
      <c r="K265"/>
    </row>
    <row r="266" spans="1:11" ht="15">
      <c r="A266" s="11" t="s">
        <v>93</v>
      </c>
      <c r="B266" s="16">
        <f>VLOOKUP(Vlookup!B236,'CDCM Forecast Data'!$A$14:$I$271,5,FALSE)</f>
        <v>0.13327131053018113</v>
      </c>
      <c r="C266" s="16">
        <f>VLOOKUP(Vlookup!C236,'CDCM Forecast Data'!$A$14:$I$271,5,FALSE)</f>
        <v>0.57760793092211993</v>
      </c>
      <c r="D266" s="16">
        <f>VLOOKUP(Vlookup!D236,'CDCM Forecast Data'!$A$14:$I$271,5,FALSE)</f>
        <v>0.28912075854769903</v>
      </c>
      <c r="E266" s="10" t="s">
        <v>262</v>
      </c>
      <c r="F266"/>
      <c r="G266"/>
      <c r="H266"/>
      <c r="I266"/>
      <c r="J266"/>
      <c r="K266"/>
    </row>
    <row r="267" spans="1:11" ht="15">
      <c r="A267" s="11" t="s">
        <v>129</v>
      </c>
      <c r="B267" s="16">
        <f>VLOOKUP(Vlookup!B237,'CDCM Forecast Data'!$A$14:$I$271,5,FALSE)</f>
        <v>2.8375924531958633E-7</v>
      </c>
      <c r="C267" s="16">
        <f>VLOOKUP(Vlookup!C237,'CDCM Forecast Data'!$A$14:$I$271,5,FALSE)</f>
        <v>0.16926612955281603</v>
      </c>
      <c r="D267" s="16">
        <f>VLOOKUP(Vlookup!D237,'CDCM Forecast Data'!$A$14:$I$271,5,FALSE)</f>
        <v>0.83073358668793862</v>
      </c>
      <c r="E267" s="10"/>
      <c r="F267"/>
      <c r="G267"/>
      <c r="H267"/>
      <c r="I267"/>
      <c r="J267"/>
      <c r="K267"/>
    </row>
    <row r="268" spans="1:11" ht="15">
      <c r="A268" s="11" t="s">
        <v>94</v>
      </c>
      <c r="B268" s="16">
        <f>VLOOKUP(Vlookup!B238,'CDCM Forecast Data'!$A$14:$I$271,5,FALSE)</f>
        <v>7.1203946559325326E-2</v>
      </c>
      <c r="C268" s="16">
        <f>VLOOKUP(Vlookup!C238,'CDCM Forecast Data'!$A$14:$I$271,5,FALSE)</f>
        <v>0.58452126520102876</v>
      </c>
      <c r="D268" s="16">
        <f>VLOOKUP(Vlookup!D238,'CDCM Forecast Data'!$A$14:$I$271,5,FALSE)</f>
        <v>0.3442747882396458</v>
      </c>
      <c r="E268" s="10"/>
      <c r="F268"/>
      <c r="G268"/>
      <c r="H268"/>
      <c r="I268"/>
      <c r="J268"/>
      <c r="K268"/>
    </row>
    <row r="269" spans="1:11" ht="15">
      <c r="A269" s="11" t="s">
        <v>95</v>
      </c>
      <c r="B269" s="16">
        <f>VLOOKUP(Vlookup!B239,'CDCM Forecast Data'!$A$14:$I$271,5,FALSE)</f>
        <v>9.7838540209257197E-2</v>
      </c>
      <c r="C269" s="16">
        <f>VLOOKUP(Vlookup!C239,'CDCM Forecast Data'!$A$14:$I$271,5,FALSE)</f>
        <v>0.65520507591280774</v>
      </c>
      <c r="D269" s="16">
        <f>VLOOKUP(Vlookup!D239,'CDCM Forecast Data'!$A$14:$I$271,5,FALSE)</f>
        <v>0.24695638387793503</v>
      </c>
      <c r="E269" s="10" t="s">
        <v>262</v>
      </c>
      <c r="F269"/>
      <c r="G269"/>
      <c r="H269"/>
      <c r="I269"/>
      <c r="J269"/>
      <c r="K269"/>
    </row>
    <row r="270" spans="1:11" ht="15">
      <c r="A270" s="11" t="s">
        <v>130</v>
      </c>
      <c r="B270" s="16">
        <f>VLOOKUP(Vlookup!B240,'CDCM Forecast Data'!$A$14:$I$271,5,FALSE)</f>
        <v>8.9699691483682498E-5</v>
      </c>
      <c r="C270" s="16">
        <f>VLOOKUP(Vlookup!C240,'CDCM Forecast Data'!$A$14:$I$271,5,FALSE)</f>
        <v>0.17771579837582263</v>
      </c>
      <c r="D270" s="16">
        <f>VLOOKUP(Vlookup!D240,'CDCM Forecast Data'!$A$14:$I$271,5,FALSE)</f>
        <v>0.82219450193269361</v>
      </c>
      <c r="E270" s="10" t="s">
        <v>262</v>
      </c>
      <c r="F270"/>
      <c r="G270"/>
      <c r="H270"/>
      <c r="I270"/>
      <c r="J270"/>
      <c r="K270"/>
    </row>
    <row r="271" spans="1:11" ht="15">
      <c r="A271" s="11" t="s">
        <v>96</v>
      </c>
      <c r="B271" s="16">
        <f>VLOOKUP(Vlookup!B241,'CDCM Forecast Data'!$A$14:$I$271,5,FALSE)</f>
        <v>0.10118214285683957</v>
      </c>
      <c r="C271" s="16">
        <f>VLOOKUP(Vlookup!C241,'CDCM Forecast Data'!$A$14:$I$271,5,FALSE)</f>
        <v>0.66091965296388588</v>
      </c>
      <c r="D271" s="16">
        <f>VLOOKUP(Vlookup!D241,'CDCM Forecast Data'!$A$14:$I$271,5,FALSE)</f>
        <v>0.23789820417927454</v>
      </c>
      <c r="E271" s="10" t="s">
        <v>262</v>
      </c>
      <c r="F271"/>
      <c r="G271"/>
      <c r="H271"/>
      <c r="I271"/>
      <c r="J271"/>
      <c r="K271"/>
    </row>
    <row r="272" spans="1:11" ht="15">
      <c r="A272" s="11" t="s">
        <v>97</v>
      </c>
      <c r="B272" s="16">
        <f>VLOOKUP(Vlookup!B242,'CDCM Forecast Data'!$A$14:$I$271,5,FALSE)</f>
        <v>9.9173095445870232E-2</v>
      </c>
      <c r="C272" s="16">
        <f>VLOOKUP(Vlookup!C242,'CDCM Forecast Data'!$A$14:$I$271,5,FALSE)</f>
        <v>0.66646341204630843</v>
      </c>
      <c r="D272" s="16">
        <f>VLOOKUP(Vlookup!D242,'CDCM Forecast Data'!$A$14:$I$271,5,FALSE)</f>
        <v>0.23436349250782129</v>
      </c>
      <c r="E272" s="10" t="s">
        <v>262</v>
      </c>
      <c r="F272"/>
      <c r="G272"/>
      <c r="H272"/>
      <c r="I272"/>
      <c r="J272"/>
      <c r="K272"/>
    </row>
    <row r="273" spans="1:11" ht="15">
      <c r="A273" s="11" t="s">
        <v>110</v>
      </c>
      <c r="B273" s="16">
        <f>VLOOKUP(Vlookup!B243,'CDCM Forecast Data'!$A$14:$I$271,5,FALSE)</f>
        <v>9.9001646523263931E-2</v>
      </c>
      <c r="C273" s="16">
        <f>VLOOKUP(Vlookup!C243,'CDCM Forecast Data'!$A$14:$I$271,5,FALSE)</f>
        <v>0.69464097956994497</v>
      </c>
      <c r="D273" s="16">
        <f>VLOOKUP(Vlookup!D243,'CDCM Forecast Data'!$A$14:$I$271,5,FALSE)</f>
        <v>0.2063573739067911</v>
      </c>
      <c r="E273" s="10"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11" t="s">
        <v>93</v>
      </c>
      <c r="B278" s="16">
        <f>VLOOKUP(Vlookup!B251,'CDCM Forecast Data'!$A$14:$I$271,7,FALSE)</f>
        <v>0</v>
      </c>
      <c r="C278" s="16">
        <f>VLOOKUP(Vlookup!C251,'CDCM Forecast Data'!$A$14:$I$271,7,FALSE)</f>
        <v>3.4830602664601619E-2</v>
      </c>
      <c r="D278" s="16">
        <f>VLOOKUP(Vlookup!D251,'CDCM Forecast Data'!$A$14:$I$271,7,FALSE)</f>
        <v>0.96516939733539842</v>
      </c>
      <c r="E278" s="10" t="s">
        <v>262</v>
      </c>
      <c r="F278"/>
      <c r="G278"/>
      <c r="H278"/>
      <c r="I278"/>
      <c r="J278"/>
      <c r="K278"/>
    </row>
    <row r="279" spans="1:11" ht="15">
      <c r="A279" s="11" t="s">
        <v>95</v>
      </c>
      <c r="B279" s="16">
        <f>VLOOKUP(Vlookup!B252,'CDCM Forecast Data'!$A$14:$I$271,7,FALSE)</f>
        <v>1.6556870442601376E-8</v>
      </c>
      <c r="C279" s="16">
        <f>VLOOKUP(Vlookup!C252,'CDCM Forecast Data'!$A$14:$I$271,7,FALSE)</f>
        <v>5.869529563813064E-2</v>
      </c>
      <c r="D279" s="16">
        <f>VLOOKUP(Vlookup!D252,'CDCM Forecast Data'!$A$14:$I$271,7,FALSE)</f>
        <v>0.94130468780499887</v>
      </c>
      <c r="E279" s="10" t="s">
        <v>262</v>
      </c>
      <c r="F279"/>
      <c r="G279"/>
      <c r="H279"/>
      <c r="I279"/>
      <c r="J279"/>
      <c r="K279"/>
    </row>
    <row r="280" spans="1:11" ht="15">
      <c r="A280" s="11" t="s">
        <v>96</v>
      </c>
      <c r="B280" s="16">
        <f>VLOOKUP(Vlookup!B253,'CDCM Forecast Data'!$A$14:$I$271,7,FALSE)</f>
        <v>0</v>
      </c>
      <c r="C280" s="16">
        <f>VLOOKUP(Vlookup!C253,'CDCM Forecast Data'!$A$14:$I$271,7,FALSE)</f>
        <v>5.1301871668323713E-3</v>
      </c>
      <c r="D280" s="16">
        <f>VLOOKUP(Vlookup!D253,'CDCM Forecast Data'!$A$14:$I$271,7,FALSE)</f>
        <v>0.99486981283316778</v>
      </c>
      <c r="E280" s="10" t="s">
        <v>262</v>
      </c>
      <c r="F280"/>
      <c r="G280"/>
      <c r="H280"/>
      <c r="I280"/>
      <c r="J280"/>
      <c r="K280"/>
    </row>
    <row r="281" spans="1:11" ht="15">
      <c r="A281" s="11" t="s">
        <v>97</v>
      </c>
      <c r="B281" s="16">
        <f>VLOOKUP(Vlookup!B254,'CDCM Forecast Data'!$A$14:$I$271,7,FALSE)</f>
        <v>0</v>
      </c>
      <c r="C281" s="16">
        <f>VLOOKUP(Vlookup!C254,'CDCM Forecast Data'!$A$14:$I$271,7,FALSE)</f>
        <v>3.213521583597959E-3</v>
      </c>
      <c r="D281" s="16">
        <f>VLOOKUP(Vlookup!D254,'CDCM Forecast Data'!$A$14:$I$271,7,FALSE)</f>
        <v>0.99678647841640211</v>
      </c>
      <c r="E281" s="10" t="s">
        <v>262</v>
      </c>
      <c r="F281"/>
      <c r="G281"/>
      <c r="H281"/>
      <c r="I281"/>
      <c r="J281"/>
      <c r="K281"/>
    </row>
    <row r="282" spans="1:11" ht="15">
      <c r="A282" s="11" t="s">
        <v>110</v>
      </c>
      <c r="B282" s="16">
        <f>VLOOKUP(Vlookup!B255,'CDCM Forecast Data'!$A$14:$I$271,7,FALSE)</f>
        <v>0</v>
      </c>
      <c r="C282" s="16">
        <f>VLOOKUP(Vlookup!C255,'CDCM Forecast Data'!$A$14:$I$271,7,FALSE)</f>
        <v>4.2256521599561099E-3</v>
      </c>
      <c r="D282" s="16">
        <f>VLOOKUP(Vlookup!D255,'CDCM Forecast Data'!$A$14:$I$271,7,FALSE)</f>
        <v>0.99577434784004382</v>
      </c>
      <c r="E282" s="10"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11" t="s">
        <v>131</v>
      </c>
      <c r="B287" s="16">
        <f>VLOOKUP(Vlookup!B260,'CDCM Forecast Data'!$A$14:$I$271,7,FALSE)</f>
        <v>2.2070015220700151E-2</v>
      </c>
      <c r="C287" s="16">
        <f>VLOOKUP(Vlookup!C260,'CDCM Forecast Data'!$A$14:$I$271,7,FALSE)</f>
        <v>0.48085996955859972</v>
      </c>
      <c r="D287" s="16">
        <f>VLOOKUP(Vlookup!D260,'CDCM Forecast Data'!$A$14:$I$271,7,FALSE)</f>
        <v>0.49707001522070016</v>
      </c>
      <c r="E287" s="10" t="s">
        <v>262</v>
      </c>
      <c r="F287"/>
      <c r="G287"/>
      <c r="H287"/>
      <c r="I287"/>
      <c r="J287"/>
      <c r="K287"/>
    </row>
    <row r="288" spans="1:11" ht="15">
      <c r="A288" s="11" t="s">
        <v>132</v>
      </c>
      <c r="B288" s="16">
        <f>VLOOKUP(Vlookup!B261,'CDCM Forecast Data'!$A$14:$I$271,7,FALSE)</f>
        <v>4.3296502490334364E-2</v>
      </c>
      <c r="C288" s="16">
        <f>VLOOKUP(Vlookup!C261,'CDCM Forecast Data'!$A$14:$I$271,7,FALSE)</f>
        <v>0.19352712515009221</v>
      </c>
      <c r="D288" s="16">
        <f>VLOOKUP(Vlookup!D261,'CDCM Forecast Data'!$A$14:$I$271,7,FALSE)</f>
        <v>0.76317637235957336</v>
      </c>
      <c r="E288" s="10" t="s">
        <v>262</v>
      </c>
      <c r="F288"/>
      <c r="G288"/>
      <c r="H288"/>
      <c r="I288"/>
      <c r="J288"/>
      <c r="K288"/>
    </row>
    <row r="289" spans="1:11" ht="15">
      <c r="A289" s="11" t="s">
        <v>133</v>
      </c>
      <c r="B289" s="16">
        <f>VLOOKUP(Vlookup!B262,'CDCM Forecast Data'!$A$14:$I$271,7,FALSE)</f>
        <v>7.5341202673786759E-2</v>
      </c>
      <c r="C289" s="16">
        <f>VLOOKUP(Vlookup!C262,'CDCM Forecast Data'!$A$14:$I$271,7,FALSE)</f>
        <v>0.32694556247045986</v>
      </c>
      <c r="D289" s="16">
        <f>VLOOKUP(Vlookup!D262,'CDCM Forecast Data'!$A$14:$I$271,7,FALSE)</f>
        <v>0.59771323485575345</v>
      </c>
      <c r="E289" s="10" t="s">
        <v>262</v>
      </c>
      <c r="F289"/>
      <c r="G289"/>
      <c r="H289"/>
      <c r="I289"/>
      <c r="J289"/>
      <c r="K289"/>
    </row>
    <row r="290" spans="1:11" ht="15">
      <c r="A290" s="11" t="s">
        <v>134</v>
      </c>
      <c r="B290" s="16">
        <f>VLOOKUP(Vlookup!B263,'CDCM Forecast Data'!$A$14:$I$271,7,FALSE)</f>
        <v>3.3590963197314191E-3</v>
      </c>
      <c r="C290" s="16">
        <f>VLOOKUP(Vlookup!C263,'CDCM Forecast Data'!$A$14:$I$271,7,FALSE)</f>
        <v>0.7385027664723034</v>
      </c>
      <c r="D290" s="16">
        <f>VLOOKUP(Vlookup!D263,'CDCM Forecast Data'!$A$14:$I$271,7,FALSE)</f>
        <v>0.25813813720796519</v>
      </c>
      <c r="E290" s="10"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11" t="s">
        <v>243</v>
      </c>
      <c r="B297" s="19">
        <f>VLOOKUP(Vlookup!B270,'CDCM Forecast Data'!$A$14:$I$271,7,FALSE)</f>
        <v>190</v>
      </c>
      <c r="C297" s="19">
        <f>VLOOKUP(Vlookup!C270,'CDCM Forecast Data'!$A$14:$I$271,7,FALSE)</f>
        <v>4233</v>
      </c>
      <c r="D297" s="19">
        <f>VLOOKUP(Vlookup!D270,'CDCM Forecast Data'!$A$14:$I$271,7,FALSE)</f>
        <v>4361</v>
      </c>
      <c r="E297" s="10"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11" t="s">
        <v>243</v>
      </c>
      <c r="B304" s="19">
        <f>VLOOKUP(Vlookup!B277,'CDCM Forecast Data'!$A$14:$I$271,7,FALSE)</f>
        <v>655</v>
      </c>
      <c r="C304" s="19">
        <f>VLOOKUP(Vlookup!C277,'CDCM Forecast Data'!$A$14:$I$271,7,FALSE)</f>
        <v>3768</v>
      </c>
      <c r="D304" s="19">
        <f>VLOOKUP(Vlookup!D277,'CDCM Forecast Data'!$A$14:$I$271,7,FALSE)</f>
        <v>4361</v>
      </c>
      <c r="E304" s="10"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20"/>
      <c r="C309" s="20"/>
      <c r="D309" s="20"/>
      <c r="E309"/>
      <c r="F309"/>
      <c r="G309"/>
      <c r="H309"/>
      <c r="I309"/>
      <c r="J309"/>
      <c r="K309"/>
    </row>
    <row r="310" spans="1:11" ht="15">
      <c r="A310"/>
      <c r="B310" s="3" t="s">
        <v>233</v>
      </c>
      <c r="C310" s="3" t="s">
        <v>234</v>
      </c>
      <c r="D310" s="3" t="s">
        <v>235</v>
      </c>
      <c r="E310" s="3" t="s">
        <v>238</v>
      </c>
      <c r="F310"/>
      <c r="G310"/>
      <c r="H310"/>
      <c r="I310"/>
      <c r="J310"/>
      <c r="K310"/>
    </row>
    <row r="311" spans="1:11" ht="15">
      <c r="A311" s="11" t="s">
        <v>60</v>
      </c>
      <c r="B311" s="16">
        <f>VLOOKUP(Vlookup!B283,'CDCM Forecast Data'!$A$14:$I$271,7,FALSE)</f>
        <v>0.62879119434947672</v>
      </c>
      <c r="C311" s="16">
        <f>VLOOKUP(Vlookup!C283,'CDCM Forecast Data'!$A$14:$I$271,7,FALSE)</f>
        <v>0.36482447333707807</v>
      </c>
      <c r="D311" s="16">
        <f>VLOOKUP(Vlookup!D283,'CDCM Forecast Data'!$A$14:$I$271,7,FALSE)</f>
        <v>6.3843323134452623E-3</v>
      </c>
      <c r="E311" s="16">
        <f>VLOOKUP(Vlookup!E283,'CDCM Forecast Data'!$A$14:$I$271,7,FALSE)</f>
        <v>0.39570245808243315</v>
      </c>
      <c r="F311" s="10" t="s">
        <v>262</v>
      </c>
      <c r="G311"/>
      <c r="H311"/>
      <c r="I311"/>
      <c r="J311"/>
      <c r="K311"/>
    </row>
    <row r="312" spans="1:11" ht="15">
      <c r="A312" s="11" t="s">
        <v>61</v>
      </c>
      <c r="B312" s="16">
        <f>VLOOKUP(Vlookup!B284,'CDCM Forecast Data'!$A$14:$I$271,7,FALSE)</f>
        <v>0.62174924523091402</v>
      </c>
      <c r="C312" s="16">
        <f>VLOOKUP(Vlookup!C284,'CDCM Forecast Data'!$A$14:$I$271,7,FALSE)</f>
        <v>0.3027754828809584</v>
      </c>
      <c r="D312" s="16">
        <f>VLOOKUP(Vlookup!D284,'CDCM Forecast Data'!$A$14:$I$271,7,FALSE)</f>
        <v>7.547527188812754E-2</v>
      </c>
      <c r="E312" s="16">
        <f>VLOOKUP(Vlookup!E284,'CDCM Forecast Data'!$A$14:$I$271,7,FALSE)</f>
        <v>0.56604499762027283</v>
      </c>
      <c r="F312" s="10" t="s">
        <v>262</v>
      </c>
      <c r="G312"/>
      <c r="H312"/>
      <c r="I312"/>
      <c r="J312"/>
      <c r="K312"/>
    </row>
    <row r="313" spans="1:11" ht="15">
      <c r="A313" s="11" t="s">
        <v>62</v>
      </c>
      <c r="B313" s="16">
        <f>VLOOKUP(Vlookup!B285,'CDCM Forecast Data'!$A$14:$I$271,7,FALSE)</f>
        <v>0.62174924523091402</v>
      </c>
      <c r="C313" s="16">
        <f>VLOOKUP(Vlookup!C285,'CDCM Forecast Data'!$A$14:$I$271,7,FALSE)</f>
        <v>0.3027754828809584</v>
      </c>
      <c r="D313" s="16">
        <f>VLOOKUP(Vlookup!D285,'CDCM Forecast Data'!$A$14:$I$271,7,FALSE)</f>
        <v>7.547527188812754E-2</v>
      </c>
      <c r="E313" s="16">
        <f>VLOOKUP(Vlookup!E285,'CDCM Forecast Data'!$A$14:$I$271,7,FALSE)</f>
        <v>0.56604499762027283</v>
      </c>
      <c r="F313" s="10" t="s">
        <v>262</v>
      </c>
      <c r="G313"/>
      <c r="H313"/>
      <c r="I313"/>
      <c r="J313"/>
      <c r="K313"/>
    </row>
    <row r="314" spans="1:11" ht="15">
      <c r="A314" s="11" t="s">
        <v>63</v>
      </c>
      <c r="B314" s="16">
        <f>VLOOKUP(Vlookup!B286,'CDCM Forecast Data'!$A$14:$I$271,7,FALSE)</f>
        <v>0.57235676252107026</v>
      </c>
      <c r="C314" s="16">
        <f>VLOOKUP(Vlookup!C286,'CDCM Forecast Data'!$A$14:$I$271,7,FALSE)</f>
        <v>0.37197918727209278</v>
      </c>
      <c r="D314" s="16">
        <f>VLOOKUP(Vlookup!D286,'CDCM Forecast Data'!$A$14:$I$271,7,FALSE)</f>
        <v>5.5664050206836936E-2</v>
      </c>
      <c r="E314" s="16">
        <f>VLOOKUP(Vlookup!E286,'CDCM Forecast Data'!$A$14:$I$271,7,FALSE)</f>
        <v>0.52685467635274164</v>
      </c>
      <c r="F314" s="10" t="s">
        <v>262</v>
      </c>
      <c r="G314"/>
      <c r="H314"/>
      <c r="I314"/>
      <c r="J314"/>
      <c r="K314"/>
    </row>
    <row r="315" spans="1:11" ht="15">
      <c r="A315" s="11" t="s">
        <v>64</v>
      </c>
      <c r="B315" s="16">
        <f>VLOOKUP(Vlookup!B287,'CDCM Forecast Data'!$A$14:$I$271,7,FALSE)</f>
        <v>0.57235676252107026</v>
      </c>
      <c r="C315" s="16">
        <f>VLOOKUP(Vlookup!C287,'CDCM Forecast Data'!$A$14:$I$271,7,FALSE)</f>
        <v>0.37197918727209278</v>
      </c>
      <c r="D315" s="16">
        <f>VLOOKUP(Vlookup!D287,'CDCM Forecast Data'!$A$14:$I$271,7,FALSE)</f>
        <v>5.5664050206836936E-2</v>
      </c>
      <c r="E315" s="16">
        <f>VLOOKUP(Vlookup!E287,'CDCM Forecast Data'!$A$14:$I$271,7,FALSE)</f>
        <v>0.52685467635274164</v>
      </c>
      <c r="F315" s="10" t="s">
        <v>262</v>
      </c>
      <c r="G315"/>
      <c r="H315"/>
      <c r="I315"/>
      <c r="J315"/>
      <c r="K315"/>
    </row>
    <row r="316" spans="1:11" ht="15">
      <c r="A316" s="11" t="s">
        <v>69</v>
      </c>
      <c r="B316" s="16">
        <f>VLOOKUP(Vlookup!B288,'CDCM Forecast Data'!$A$14:$I$271,7,FALSE)</f>
        <v>0.62174924523091402</v>
      </c>
      <c r="C316" s="16">
        <f>VLOOKUP(Vlookup!C288,'CDCM Forecast Data'!$A$14:$I$271,7,FALSE)</f>
        <v>0.3027754828809584</v>
      </c>
      <c r="D316" s="16">
        <f>VLOOKUP(Vlookup!D288,'CDCM Forecast Data'!$A$14:$I$271,7,FALSE)</f>
        <v>7.547527188812754E-2</v>
      </c>
      <c r="E316" s="16">
        <f>VLOOKUP(Vlookup!E288,'CDCM Forecast Data'!$A$14:$I$271,7,FALSE)</f>
        <v>0.56604499762027283</v>
      </c>
      <c r="F316" s="10" t="s">
        <v>262</v>
      </c>
      <c r="G316"/>
      <c r="H316"/>
      <c r="I316"/>
      <c r="J316"/>
      <c r="K316"/>
    </row>
    <row r="317" spans="1:11" ht="15">
      <c r="A317" s="11" t="s">
        <v>65</v>
      </c>
      <c r="B317" s="16">
        <f>VLOOKUP(Vlookup!B289,'CDCM Forecast Data'!$A$14:$I$271,7,FALSE)</f>
        <v>0.57235676252107026</v>
      </c>
      <c r="C317" s="16">
        <f>VLOOKUP(Vlookup!C289,'CDCM Forecast Data'!$A$14:$I$271,7,FALSE)</f>
        <v>0.37197918727209278</v>
      </c>
      <c r="D317" s="16">
        <f>VLOOKUP(Vlookup!D289,'CDCM Forecast Data'!$A$14:$I$271,7,FALSE)</f>
        <v>5.5664050206836936E-2</v>
      </c>
      <c r="E317" s="16">
        <f>VLOOKUP(Vlookup!E289,'CDCM Forecast Data'!$A$14:$I$271,7,FALSE)</f>
        <v>0.52685467635274164</v>
      </c>
      <c r="F317" s="10" t="s">
        <v>262</v>
      </c>
      <c r="G317"/>
      <c r="H317"/>
      <c r="I317"/>
      <c r="J317"/>
      <c r="K317"/>
    </row>
    <row r="318" spans="1:11" ht="15">
      <c r="A318" s="11" t="s">
        <v>66</v>
      </c>
      <c r="B318" s="16">
        <f>VLOOKUP(Vlookup!B290,'CDCM Forecast Data'!$A$14:$I$271,7,FALSE)</f>
        <v>0.57235676252107026</v>
      </c>
      <c r="C318" s="16">
        <f>VLOOKUP(Vlookup!C290,'CDCM Forecast Data'!$A$14:$I$271,7,FALSE)</f>
        <v>0.37197918727209278</v>
      </c>
      <c r="D318" s="16">
        <f>VLOOKUP(Vlookup!D290,'CDCM Forecast Data'!$A$14:$I$271,7,FALSE)</f>
        <v>5.5664050206836936E-2</v>
      </c>
      <c r="E318" s="16">
        <f>VLOOKUP(Vlookup!E290,'CDCM Forecast Data'!$A$14:$I$271,7,FALSE)</f>
        <v>0.52685467635274164</v>
      </c>
      <c r="F318" s="10" t="s">
        <v>262</v>
      </c>
      <c r="G318"/>
      <c r="H318"/>
      <c r="I318"/>
      <c r="J318"/>
      <c r="K318"/>
    </row>
    <row r="319" spans="1:11" ht="15">
      <c r="A319" s="11" t="s">
        <v>67</v>
      </c>
      <c r="B319" s="16">
        <f>VLOOKUP(Vlookup!B291,'CDCM Forecast Data'!$A$14:$I$271,7,FALSE)</f>
        <v>0.57235676252107026</v>
      </c>
      <c r="C319" s="16">
        <f>VLOOKUP(Vlookup!C291,'CDCM Forecast Data'!$A$14:$I$271,7,FALSE)</f>
        <v>0.37197918727209278</v>
      </c>
      <c r="D319" s="16">
        <f>VLOOKUP(Vlookup!D291,'CDCM Forecast Data'!$A$14:$I$271,7,FALSE)</f>
        <v>5.5664050206836936E-2</v>
      </c>
      <c r="E319" s="16">
        <f>VLOOKUP(Vlookup!E291,'CDCM Forecast Data'!$A$14:$I$271,7,FALSE)</f>
        <v>0.52685467635274164</v>
      </c>
      <c r="F319" s="10" t="s">
        <v>262</v>
      </c>
      <c r="G319"/>
      <c r="H319"/>
      <c r="I319"/>
      <c r="J319"/>
      <c r="K319"/>
    </row>
    <row r="320" spans="1:11" ht="15">
      <c r="A320"/>
      <c r="B320"/>
      <c r="C320"/>
      <c r="D320"/>
      <c r="E320"/>
      <c r="F320"/>
      <c r="G320"/>
      <c r="H320"/>
      <c r="I320"/>
      <c r="J320"/>
      <c r="K320"/>
    </row>
    <row r="321" spans="1:11" ht="19.5">
      <c r="A321" s="1" t="s">
        <v>1634</v>
      </c>
      <c r="B321"/>
      <c r="C321"/>
      <c r="D321"/>
      <c r="E321"/>
      <c r="F321"/>
      <c r="G321"/>
      <c r="H321"/>
      <c r="I321"/>
      <c r="J321"/>
      <c r="K321"/>
    </row>
    <row r="322" spans="1:11" ht="15">
      <c r="A322" s="2" t="s">
        <v>1633</v>
      </c>
      <c r="B322"/>
      <c r="C322"/>
      <c r="D322"/>
      <c r="E322"/>
      <c r="F322"/>
      <c r="G322"/>
      <c r="H322"/>
      <c r="I322"/>
      <c r="J322"/>
      <c r="K322"/>
    </row>
    <row r="323" spans="1:11" ht="15">
      <c r="A323"/>
      <c r="B323"/>
      <c r="C323"/>
      <c r="D323"/>
      <c r="E323"/>
      <c r="F323"/>
      <c r="G323"/>
      <c r="H323"/>
      <c r="I323"/>
      <c r="J323"/>
      <c r="K323"/>
    </row>
    <row r="324" spans="1:11" ht="30">
      <c r="A324"/>
      <c r="B324" s="3" t="s">
        <v>1632</v>
      </c>
      <c r="C324"/>
      <c r="D324"/>
      <c r="E324"/>
      <c r="F324"/>
      <c r="G324"/>
      <c r="H324"/>
      <c r="I324"/>
      <c r="J324"/>
      <c r="K324"/>
    </row>
    <row r="325" spans="1:11" ht="15">
      <c r="A325" s="11" t="s">
        <v>1632</v>
      </c>
      <c r="B325" s="14">
        <f>1000000*'Table 1'!H47</f>
        <v>221877983.08468935</v>
      </c>
      <c r="C325" s="10"/>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11" t="s">
        <v>251</v>
      </c>
      <c r="B332" s="4">
        <f>VLOOKUP(Vlookup!B298,'CDCM Forecast Data'!$A$14:$I$271,7,FALSE)</f>
        <v>0.27489787150128192</v>
      </c>
      <c r="C332" s="4">
        <f>VLOOKUP(Vlookup!C298,'CDCM Forecast Data'!$A$14:$I$271,7,FALSE)</f>
        <v>0.27489787150128192</v>
      </c>
      <c r="D332" s="4">
        <f>VLOOKUP(Vlookup!D298,'CDCM Forecast Data'!$A$14:$I$271,7,FALSE)</f>
        <v>0.27489787150128192</v>
      </c>
      <c r="E332" s="4">
        <f>VLOOKUP(Vlookup!E298,'CDCM Forecast Data'!$A$14:$I$271,7,FALSE)</f>
        <v>0.27489787150128192</v>
      </c>
      <c r="F332" s="4">
        <f>VLOOKUP(Vlookup!F298,'CDCM Forecast Data'!$A$14:$I$271,7,FALSE)</f>
        <v>0.27489787150128192</v>
      </c>
      <c r="G332" s="4">
        <f>VLOOKUP(Vlookup!G298,'CDCM Forecast Data'!$A$14:$I$271,7,FALSE)</f>
        <v>0.27489787150128192</v>
      </c>
      <c r="H332" s="4">
        <f>VLOOKUP(Vlookup!H298,'CDCM Forecast Data'!$A$14:$I$271,7,FALSE)</f>
        <v>0.27489787150128192</v>
      </c>
      <c r="I332" s="4">
        <f>VLOOKUP(Vlookup!I298,'CDCM Forecast Data'!$A$14:$I$271,7,FALSE)</f>
        <v>0.27489787150128192</v>
      </c>
      <c r="J332" s="4">
        <f>VLOOKUP(Vlookup!J298,'CDCM Forecast Data'!$A$14:$I$271,7,FALSE)</f>
        <v>0.27489787150128192</v>
      </c>
      <c r="K332" s="10"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200:G200 B196:G196 B192:G192 B142:G142 B146:G146 B150:G150 B154:G154 B158:G158 B162:G162 B166:G166 B170:G170 B172:G172 B174:G174 B178:G178 B181:G181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223:G224 B189:G191 B212:G214 B197:G199 B185:G187 B201:G203 B147:G149 B151:G153 B155:G157 B159:G161 B163:G165 B171:G171 B167:G169 B179:G180 B182:G183 B175:G177 B143:G145 B173:G17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dimension ref="A1:K332"/>
  <sheetViews>
    <sheetView showGridLines="0" workbookViewId="0">
      <selection activeCell="A4" sqref="A4:K332"/>
    </sheetView>
  </sheetViews>
  <sheetFormatPr defaultColWidth="8.85546875" defaultRowHeight="12.75"/>
  <cols>
    <col min="1" max="1" width="50.7109375" style="43" customWidth="1"/>
    <col min="2" max="251" width="20.7109375" style="43" customWidth="1"/>
    <col min="252" max="16384" width="8.85546875" style="43"/>
  </cols>
  <sheetData>
    <row r="1" spans="1:11" ht="19.5">
      <c r="A1" s="1" t="s">
        <v>1557</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11" t="s">
        <v>4</v>
      </c>
      <c r="B7" s="13">
        <f>VLOOKUP(Vlookup!B7,'CDCM Forecast Data'!$A$14:$I$271,8,FALSE)</f>
        <v>0</v>
      </c>
      <c r="C7" s="13">
        <f>VLOOKUP(Vlookup!C7,'CDCM Forecast Data'!$A$14:$I$271,8,FALSE)</f>
        <v>0</v>
      </c>
      <c r="D7" s="13">
        <f>VLOOKUP(Vlookup!D7,'CDCM Forecast Data'!$A$14:$I$271,8,FALSE)</f>
        <v>0</v>
      </c>
      <c r="E7" s="10"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1471</v>
      </c>
      <c r="G13"/>
      <c r="H13"/>
      <c r="I13"/>
      <c r="J13"/>
      <c r="K13"/>
    </row>
    <row r="14" spans="1:11" ht="15">
      <c r="A14" s="11" t="s">
        <v>52</v>
      </c>
      <c r="B14" s="16">
        <f>VLOOKUP(Vlookup!B14,'CDCM Forecast Data'!$A$14:$I$271,8,FALSE)</f>
        <v>5.6000000000000001E-2</v>
      </c>
      <c r="C14" s="14">
        <f>VLOOKUP(Vlookup!C14,'CDCM Forecast Data'!$A$14:$I$271,8,FALSE)</f>
        <v>40</v>
      </c>
      <c r="D14" s="5"/>
      <c r="E14" s="4">
        <f>VLOOKUP(Vlookup!E14,'CDCM Forecast Data'!$A$14:$I$271,8,FALSE)</f>
        <v>0.95</v>
      </c>
      <c r="F14" s="14">
        <f>VLOOKUP(Vlookup!F14,'CDCM Forecast Data'!$A$14:$I$271,8,FALSE)</f>
        <v>365</v>
      </c>
      <c r="G14" s="10"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11" t="s">
        <v>60</v>
      </c>
      <c r="B24" s="16">
        <f>VLOOKUP(Vlookup!B24,'CDCM Forecast Data'!$A$14:$I$271,8,FALSE)</f>
        <v>6.3829787234042507E-2</v>
      </c>
      <c r="C24" s="10" t="s">
        <v>262</v>
      </c>
      <c r="D24"/>
      <c r="E24"/>
      <c r="F24"/>
      <c r="G24"/>
      <c r="H24"/>
      <c r="I24"/>
      <c r="J24"/>
      <c r="K24"/>
    </row>
    <row r="25" spans="1:11" ht="15">
      <c r="A25" s="11" t="s">
        <v>61</v>
      </c>
      <c r="B25" s="16">
        <f>VLOOKUP(Vlookup!B25,'CDCM Forecast Data'!$A$14:$I$271,8,FALSE)</f>
        <v>5.2999999999999999E-2</v>
      </c>
      <c r="C25" s="10" t="s">
        <v>262</v>
      </c>
      <c r="D25"/>
      <c r="E25"/>
      <c r="F25"/>
      <c r="G25"/>
      <c r="H25"/>
      <c r="I25"/>
      <c r="J25"/>
      <c r="K25"/>
    </row>
    <row r="26" spans="1:11" ht="15">
      <c r="A26" s="11" t="s">
        <v>62</v>
      </c>
      <c r="B26" s="8"/>
      <c r="C26" s="10" t="s">
        <v>262</v>
      </c>
      <c r="D26"/>
      <c r="E26"/>
      <c r="F26"/>
      <c r="G26"/>
      <c r="H26"/>
      <c r="I26"/>
      <c r="J26"/>
      <c r="K26"/>
    </row>
    <row r="27" spans="1:11" ht="15">
      <c r="A27" s="11" t="s">
        <v>63</v>
      </c>
      <c r="B27" s="16">
        <f>VLOOKUP(Vlookup!B27,'CDCM Forecast Data'!$A$14:$I$271,8,FALSE)</f>
        <v>9.9000000000000005E-2</v>
      </c>
      <c r="C27" s="10" t="s">
        <v>262</v>
      </c>
      <c r="D27"/>
      <c r="E27"/>
      <c r="F27"/>
      <c r="G27"/>
      <c r="H27"/>
      <c r="I27"/>
      <c r="J27"/>
      <c r="K27"/>
    </row>
    <row r="28" spans="1:11" ht="15">
      <c r="A28" s="11" t="s">
        <v>64</v>
      </c>
      <c r="B28" s="8"/>
      <c r="C28" s="10" t="s">
        <v>262</v>
      </c>
      <c r="D28"/>
      <c r="E28"/>
      <c r="F28"/>
      <c r="G28"/>
      <c r="H28"/>
      <c r="I28"/>
      <c r="J28"/>
      <c r="K28"/>
    </row>
    <row r="29" spans="1:11" ht="15">
      <c r="A29" s="11" t="s">
        <v>65</v>
      </c>
      <c r="B29" s="16">
        <f>VLOOKUP(Vlookup!B29,'CDCM Forecast Data'!$A$14:$I$271,8,FALSE)</f>
        <v>0.37</v>
      </c>
      <c r="C29" s="10" t="s">
        <v>262</v>
      </c>
      <c r="D29"/>
      <c r="E29"/>
      <c r="F29"/>
      <c r="G29"/>
      <c r="H29"/>
      <c r="I29"/>
      <c r="J29"/>
      <c r="K29"/>
    </row>
    <row r="30" spans="1:11" ht="15">
      <c r="A30" s="11" t="s">
        <v>66</v>
      </c>
      <c r="B30" s="8"/>
      <c r="C30" s="10" t="s">
        <v>262</v>
      </c>
      <c r="D30"/>
      <c r="E30"/>
      <c r="F30"/>
      <c r="G30"/>
      <c r="H30"/>
      <c r="I30"/>
      <c r="J30"/>
      <c r="K30"/>
    </row>
    <row r="31" spans="1:11" ht="15">
      <c r="A31" s="11" t="s">
        <v>67</v>
      </c>
      <c r="B31" s="8"/>
      <c r="C31" s="10"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11" t="s">
        <v>64</v>
      </c>
      <c r="B36" s="16">
        <f>VLOOKUP(Vlookup!B36,'CDCM Forecast Data'!$A$14:$I$271,8,FALSE)</f>
        <v>0.3</v>
      </c>
      <c r="C36" s="10"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11" t="s">
        <v>71</v>
      </c>
      <c r="B41" s="14">
        <f>VLOOKUP(Vlookup!B41,'CDCM Forecast Data'!$A$14:$I$271,8,FALSE)</f>
        <v>500</v>
      </c>
      <c r="C41" s="10"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11" t="s">
        <v>61</v>
      </c>
      <c r="B46" s="14">
        <f>VLOOKUP(Vlookup!B46,'CDCM Forecast Data'!$A$14:$I$271,8,FALSE)</f>
        <v>137969189.39800701</v>
      </c>
      <c r="C46" s="10" t="s">
        <v>262</v>
      </c>
      <c r="D46"/>
      <c r="E46"/>
      <c r="F46"/>
      <c r="G46"/>
      <c r="H46"/>
      <c r="I46"/>
      <c r="J46"/>
      <c r="K46"/>
    </row>
    <row r="47" spans="1:11" ht="15">
      <c r="A47" s="11" t="s">
        <v>62</v>
      </c>
      <c r="B47" s="14">
        <f>VLOOKUP(Vlookup!B47,'CDCM Forecast Data'!$A$14:$I$271,8,FALSE)</f>
        <v>12186219.995586371</v>
      </c>
      <c r="C47" s="10" t="s">
        <v>262</v>
      </c>
      <c r="D47"/>
      <c r="E47"/>
      <c r="F47"/>
      <c r="G47"/>
      <c r="H47"/>
      <c r="I47"/>
      <c r="J47"/>
      <c r="K47"/>
    </row>
    <row r="48" spans="1:11" ht="15">
      <c r="A48" s="11" t="s">
        <v>63</v>
      </c>
      <c r="B48" s="14">
        <f>VLOOKUP(Vlookup!B48,'CDCM Forecast Data'!$A$14:$I$271,8,FALSE)</f>
        <v>36160986.587365322</v>
      </c>
      <c r="C48" s="10" t="s">
        <v>262</v>
      </c>
      <c r="D48"/>
      <c r="E48"/>
      <c r="F48"/>
      <c r="G48"/>
      <c r="H48"/>
      <c r="I48"/>
      <c r="J48"/>
      <c r="K48"/>
    </row>
    <row r="49" spans="1:11" ht="15">
      <c r="A49" s="11" t="s">
        <v>64</v>
      </c>
      <c r="B49" s="14">
        <f>VLOOKUP(Vlookup!B49,'CDCM Forecast Data'!$A$14:$I$271,8,FALSE)</f>
        <v>31459806.551219318</v>
      </c>
      <c r="C49" s="10" t="s">
        <v>262</v>
      </c>
      <c r="D49"/>
      <c r="E49"/>
      <c r="F49"/>
      <c r="G49"/>
      <c r="H49"/>
      <c r="I49"/>
      <c r="J49"/>
      <c r="K49"/>
    </row>
    <row r="50" spans="1:11" ht="15">
      <c r="A50" s="11" t="s">
        <v>69</v>
      </c>
      <c r="B50" s="14">
        <f>VLOOKUP(Vlookup!B50,'CDCM Forecast Data'!$A$14:$I$271,8,FALSE)</f>
        <v>10130531.02810845</v>
      </c>
      <c r="C50" s="10" t="s">
        <v>262</v>
      </c>
      <c r="D50"/>
      <c r="E50"/>
      <c r="F50"/>
      <c r="G50"/>
      <c r="H50"/>
      <c r="I50"/>
      <c r="J50"/>
      <c r="K50"/>
    </row>
    <row r="51" spans="1:11" ht="15">
      <c r="A51" s="11" t="s">
        <v>65</v>
      </c>
      <c r="B51" s="14">
        <f>VLOOKUP(Vlookup!B51,'CDCM Forecast Data'!$A$14:$I$271,8,FALSE)</f>
        <v>151753771.99229744</v>
      </c>
      <c r="C51" s="10" t="s">
        <v>262</v>
      </c>
      <c r="D51"/>
      <c r="E51"/>
      <c r="F51"/>
      <c r="G51"/>
      <c r="H51"/>
      <c r="I51"/>
      <c r="J51"/>
      <c r="K51"/>
    </row>
    <row r="52" spans="1:11" ht="15">
      <c r="A52" s="11" t="s">
        <v>66</v>
      </c>
      <c r="B52" s="14">
        <f>VLOOKUP(Vlookup!B52,'CDCM Forecast Data'!$A$14:$I$271,8,FALSE)</f>
        <v>58627263.892406151</v>
      </c>
      <c r="C52" s="10" t="s">
        <v>262</v>
      </c>
      <c r="D52"/>
      <c r="E52"/>
      <c r="F52"/>
      <c r="G52"/>
      <c r="H52"/>
      <c r="I52"/>
      <c r="J52"/>
      <c r="K52"/>
    </row>
    <row r="53" spans="1:11" ht="15">
      <c r="A53" s="11" t="s">
        <v>67</v>
      </c>
      <c r="B53" s="14">
        <f>VLOOKUP(Vlookup!B53,'CDCM Forecast Data'!$A$14:$I$271,8,FALSE)</f>
        <v>120745582.11840877</v>
      </c>
      <c r="C53" s="10"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11" t="s">
        <v>83</v>
      </c>
      <c r="B58" s="14">
        <f>VLOOKUP(Vlookup!B58,'CDCM Forecast Data'!$A$14:$I$271,8,FALSE)</f>
        <v>5427.8037787867497</v>
      </c>
      <c r="C58" s="14">
        <f>VLOOKUP(Vlookup!C58,'CDCM Forecast Data'!$A$14:$I$271,8,FALSE)</f>
        <v>610.57365852336613</v>
      </c>
      <c r="D58" s="14">
        <f>VLOOKUP(Vlookup!D58,'CDCM Forecast Data'!$A$14:$I$271,8,FALSE)</f>
        <v>743.369079238675</v>
      </c>
      <c r="E58" s="14">
        <f>VLOOKUP(Vlookup!E58,'CDCM Forecast Data'!$A$14:$I$271,8,FALSE)</f>
        <v>551.29735233303484</v>
      </c>
      <c r="F58" s="14">
        <f>VLOOKUP(Vlookup!F58,'CDCM Forecast Data'!$A$14:$I$271,8,FALSE)</f>
        <v>1253.2215691497943</v>
      </c>
      <c r="G58" s="14">
        <f>VLOOKUP(Vlookup!G58,'CDCM Forecast Data'!$A$14:$I$271,8,FALSE)</f>
        <v>965.24765655846022</v>
      </c>
      <c r="H58" s="14">
        <f>VLOOKUP(Vlookup!H58,'CDCM Forecast Data'!$A$14:$I$271,8,FALSE)</f>
        <v>0</v>
      </c>
      <c r="I58" s="14">
        <f>VLOOKUP(Vlookup!I58,'CDCM Forecast Data'!$A$14:$I$271,8,FALSE)</f>
        <v>504.83015585317827</v>
      </c>
      <c r="J58" s="10"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11" t="s">
        <v>90</v>
      </c>
      <c r="B63" s="14">
        <f>VLOOKUP(Vlookup!B63,'CDCM Forecast Data'!$A$14:$I$271,8,FALSE)</f>
        <v>9576.3767935361138</v>
      </c>
      <c r="C63" s="14">
        <f>VLOOKUP(Vlookup!C63,'CDCM Forecast Data'!$A$14:$I$271,8,FALSE)</f>
        <v>4617.0947529453897</v>
      </c>
      <c r="D63" s="14">
        <f>VLOOKUP(Vlookup!D63,'CDCM Forecast Data'!$A$14:$I$271,8,FALSE)</f>
        <v>0</v>
      </c>
      <c r="E63" s="14">
        <f>VLOOKUP(Vlookup!E63,'CDCM Forecast Data'!$A$14:$I$271,8,FALSE)</f>
        <v>0</v>
      </c>
      <c r="F63" s="14">
        <f>VLOOKUP(Vlookup!F63,'CDCM Forecast Data'!$A$14:$I$271,8,FALSE)</f>
        <v>0</v>
      </c>
      <c r="G63" s="10"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26</v>
      </c>
      <c r="C66">
        <f t="shared" ref="C66:I66" si="0">B66+1</f>
        <v>27</v>
      </c>
      <c r="D66">
        <f t="shared" si="0"/>
        <v>28</v>
      </c>
      <c r="E66">
        <f t="shared" si="0"/>
        <v>29</v>
      </c>
      <c r="F66">
        <f t="shared" si="0"/>
        <v>30</v>
      </c>
      <c r="G66">
        <f t="shared" si="0"/>
        <v>31</v>
      </c>
      <c r="H66">
        <f t="shared" si="0"/>
        <v>32</v>
      </c>
      <c r="I66">
        <f t="shared" si="0"/>
        <v>33</v>
      </c>
      <c r="J66"/>
      <c r="K66"/>
    </row>
    <row r="67" spans="1:11" ht="15">
      <c r="A67"/>
      <c r="B67" s="3" t="s">
        <v>75</v>
      </c>
      <c r="C67" s="3" t="s">
        <v>76</v>
      </c>
      <c r="D67" s="3" t="s">
        <v>77</v>
      </c>
      <c r="E67" s="3" t="s">
        <v>78</v>
      </c>
      <c r="F67" s="3" t="s">
        <v>79</v>
      </c>
      <c r="G67" s="3" t="s">
        <v>80</v>
      </c>
      <c r="H67" s="3" t="s">
        <v>81</v>
      </c>
      <c r="I67" s="3" t="s">
        <v>82</v>
      </c>
      <c r="J67"/>
      <c r="K67"/>
    </row>
    <row r="68" spans="1:11" ht="15">
      <c r="A68" s="11" t="s">
        <v>92</v>
      </c>
      <c r="B68" s="16">
        <f>VLOOKUP($A68,'Mat of App'!$B$7:$AP$37,B$66,FALSE)</f>
        <v>0.05</v>
      </c>
      <c r="C68" s="16">
        <f>VLOOKUP($A68,'Mat of App'!$B$7:$AP$37,C$66,FALSE)</f>
        <v>0</v>
      </c>
      <c r="D68" s="16">
        <f>VLOOKUP($A68,'Mat of App'!$B$7:$AP$37,D$66,FALSE)</f>
        <v>0</v>
      </c>
      <c r="E68" s="16">
        <f>VLOOKUP($A68,'Mat of App'!$B$7:$AP$37,E$66,FALSE)</f>
        <v>0</v>
      </c>
      <c r="F68" s="16">
        <f>VLOOKUP($A68,'Mat of App'!$B$7:$AP$37,F$66,FALSE)</f>
        <v>0</v>
      </c>
      <c r="G68" s="16">
        <f>VLOOKUP($A68,'Mat of App'!$B$7:$AP$37,G$66,FALSE)</f>
        <v>0</v>
      </c>
      <c r="H68" s="16">
        <f>VLOOKUP($A68,'Mat of App'!$B$7:$AP$37,H$66,FALSE)</f>
        <v>0</v>
      </c>
      <c r="I68" s="16">
        <f>VLOOKUP($A68,'Mat of App'!$B$7:$AP$37,I$66,FALSE)</f>
        <v>0</v>
      </c>
      <c r="J68" s="10" t="s">
        <v>262</v>
      </c>
      <c r="K68"/>
    </row>
    <row r="69" spans="1:11" ht="15">
      <c r="A69" s="11" t="s">
        <v>93</v>
      </c>
      <c r="B69" s="16">
        <f>VLOOKUP($A69,'Mat of App'!$B$7:$AP$37,B$66,FALSE)</f>
        <v>0.05</v>
      </c>
      <c r="C69" s="16">
        <f>VLOOKUP($A69,'Mat of App'!$B$7:$AP$37,C$66,FALSE)</f>
        <v>0</v>
      </c>
      <c r="D69" s="16">
        <f>VLOOKUP($A69,'Mat of App'!$B$7:$AP$37,D$66,FALSE)</f>
        <v>0</v>
      </c>
      <c r="E69" s="16">
        <f>VLOOKUP($A69,'Mat of App'!$B$7:$AP$37,E$66,FALSE)</f>
        <v>0</v>
      </c>
      <c r="F69" s="16">
        <f>VLOOKUP($A69,'Mat of App'!$B$7:$AP$37,F$66,FALSE)</f>
        <v>0</v>
      </c>
      <c r="G69" s="16">
        <f>VLOOKUP($A69,'Mat of App'!$B$7:$AP$37,G$66,FALSE)</f>
        <v>0</v>
      </c>
      <c r="H69" s="16">
        <f>VLOOKUP($A69,'Mat of App'!$B$7:$AP$37,H$66,FALSE)</f>
        <v>0</v>
      </c>
      <c r="I69" s="16">
        <f>VLOOKUP($A69,'Mat of App'!$B$7:$AP$37,I$66,FALSE)</f>
        <v>0</v>
      </c>
      <c r="J69" s="10" t="s">
        <v>262</v>
      </c>
      <c r="K69"/>
    </row>
    <row r="70" spans="1:11" ht="15">
      <c r="A70" s="11" t="s">
        <v>94</v>
      </c>
      <c r="B70" s="16">
        <f>VLOOKUP($A70,'Mat of App'!$B$7:$AP$37,B$66,FALSE)</f>
        <v>0</v>
      </c>
      <c r="C70" s="16">
        <f>VLOOKUP($A70,'Mat of App'!$B$7:$AP$37,C$66,FALSE)</f>
        <v>1</v>
      </c>
      <c r="D70" s="16">
        <f>VLOOKUP($A70,'Mat of App'!$B$7:$AP$37,D$66,FALSE)</f>
        <v>0</v>
      </c>
      <c r="E70" s="16">
        <f>VLOOKUP($A70,'Mat of App'!$B$7:$AP$37,E$66,FALSE)</f>
        <v>0</v>
      </c>
      <c r="F70" s="16">
        <f>VLOOKUP($A70,'Mat of App'!$B$7:$AP$37,F$66,FALSE)</f>
        <v>0</v>
      </c>
      <c r="G70" s="16">
        <f>VLOOKUP($A70,'Mat of App'!$B$7:$AP$37,G$66,FALSE)</f>
        <v>0</v>
      </c>
      <c r="H70" s="16">
        <f>VLOOKUP($A70,'Mat of App'!$B$7:$AP$37,H$66,FALSE)</f>
        <v>0</v>
      </c>
      <c r="I70" s="16">
        <f>VLOOKUP($A70,'Mat of App'!$B$7:$AP$37,I$66,FALSE)</f>
        <v>0</v>
      </c>
      <c r="J70" s="10" t="s">
        <v>262</v>
      </c>
      <c r="K70"/>
    </row>
    <row r="71" spans="1:11" ht="15">
      <c r="A71" s="11" t="s">
        <v>95</v>
      </c>
      <c r="B71" s="16">
        <f>VLOOKUP($A71,'Mat of App'!$B$7:$AP$37,B$66,FALSE)</f>
        <v>0</v>
      </c>
      <c r="C71" s="16">
        <f>VLOOKUP($A71,'Mat of App'!$B$7:$AP$37,C$66,FALSE)</f>
        <v>1</v>
      </c>
      <c r="D71" s="16">
        <f>VLOOKUP($A71,'Mat of App'!$B$7:$AP$37,D$66,FALSE)</f>
        <v>0</v>
      </c>
      <c r="E71" s="16">
        <f>VLOOKUP($A71,'Mat of App'!$B$7:$AP$37,E$66,FALSE)</f>
        <v>0</v>
      </c>
      <c r="F71" s="16">
        <f>VLOOKUP($A71,'Mat of App'!$B$7:$AP$37,F$66,FALSE)</f>
        <v>0</v>
      </c>
      <c r="G71" s="16">
        <f>VLOOKUP($A71,'Mat of App'!$B$7:$AP$37,G$66,FALSE)</f>
        <v>0</v>
      </c>
      <c r="H71" s="16">
        <f>VLOOKUP($A71,'Mat of App'!$B$7:$AP$37,H$66,FALSE)</f>
        <v>0</v>
      </c>
      <c r="I71" s="16">
        <f>VLOOKUP($A71,'Mat of App'!$B$7:$AP$37,I$66,FALSE)</f>
        <v>0</v>
      </c>
      <c r="J71" s="10" t="s">
        <v>262</v>
      </c>
      <c r="K71"/>
    </row>
    <row r="72" spans="1:11" ht="15">
      <c r="A72" s="11" t="s">
        <v>96</v>
      </c>
      <c r="B72" s="16">
        <f>VLOOKUP($A72,'Mat of App'!$B$7:$AP$37,B$66,FALSE)</f>
        <v>0</v>
      </c>
      <c r="C72" s="16">
        <f>VLOOKUP($A72,'Mat of App'!$B$7:$AP$37,C$66,FALSE)</f>
        <v>0</v>
      </c>
      <c r="D72" s="16">
        <f>VLOOKUP($A72,'Mat of App'!$B$7:$AP$37,D$66,FALSE)</f>
        <v>1</v>
      </c>
      <c r="E72" s="16">
        <f>VLOOKUP($A72,'Mat of App'!$B$7:$AP$37,E$66,FALSE)</f>
        <v>0</v>
      </c>
      <c r="F72" s="16">
        <f>VLOOKUP($A72,'Mat of App'!$B$7:$AP$37,F$66,FALSE)</f>
        <v>0</v>
      </c>
      <c r="G72" s="16">
        <f>VLOOKUP($A72,'Mat of App'!$B$7:$AP$37,G$66,FALSE)</f>
        <v>0</v>
      </c>
      <c r="H72" s="16">
        <f>VLOOKUP($A72,'Mat of App'!$B$7:$AP$37,H$66,FALSE)</f>
        <v>0</v>
      </c>
      <c r="I72" s="16">
        <f>VLOOKUP($A72,'Mat of App'!$B$7:$AP$37,I$66,FALSE)</f>
        <v>0</v>
      </c>
      <c r="J72" s="10"/>
      <c r="K72"/>
    </row>
    <row r="73" spans="1:11" ht="15">
      <c r="A73" s="11" t="s">
        <v>97</v>
      </c>
      <c r="B73" s="16">
        <f>VLOOKUP($A73,'Mat of App'!$B$7:$AP$37,B$66,FALSE)</f>
        <v>0</v>
      </c>
      <c r="C73" s="16">
        <f>VLOOKUP($A73,'Mat of App'!$B$7:$AP$37,C$66,FALSE)</f>
        <v>0</v>
      </c>
      <c r="D73" s="16">
        <f>VLOOKUP($A73,'Mat of App'!$B$7:$AP$37,D$66,FALSE)</f>
        <v>0</v>
      </c>
      <c r="E73" s="16">
        <f>VLOOKUP($A73,'Mat of App'!$B$7:$AP$37,E$66,FALSE)</f>
        <v>1</v>
      </c>
      <c r="F73" s="16">
        <f>VLOOKUP($A73,'Mat of App'!$B$7:$AP$37,F$66,FALSE)</f>
        <v>0</v>
      </c>
      <c r="G73" s="16">
        <f>VLOOKUP($A73,'Mat of App'!$B$7:$AP$37,G$66,FALSE)</f>
        <v>0</v>
      </c>
      <c r="H73" s="16">
        <f>VLOOKUP($A73,'Mat of App'!$B$7:$AP$37,H$66,FALSE)</f>
        <v>0</v>
      </c>
      <c r="I73" s="16">
        <f>VLOOKUP($A73,'Mat of App'!$B$7:$AP$37,I$66,FALSE)</f>
        <v>0</v>
      </c>
      <c r="J73" s="10"/>
      <c r="K73"/>
    </row>
    <row r="74" spans="1:11" ht="15">
      <c r="A74" s="11" t="s">
        <v>1647</v>
      </c>
      <c r="B74" s="16">
        <f>VLOOKUP($A74,'Mat of App'!$B$7:$AP$37,B$66,FALSE)</f>
        <v>0.05</v>
      </c>
      <c r="C74" s="16">
        <f>VLOOKUP($A74,'Mat of App'!$B$7:$AP$37,C$66,FALSE)</f>
        <v>0</v>
      </c>
      <c r="D74" s="16">
        <f>VLOOKUP($A74,'Mat of App'!$B$7:$AP$37,D$66,FALSE)</f>
        <v>0</v>
      </c>
      <c r="E74" s="16">
        <f>VLOOKUP($A74,'Mat of App'!$B$7:$AP$37,E$66,FALSE)</f>
        <v>0</v>
      </c>
      <c r="F74" s="16">
        <f>VLOOKUP($A74,'Mat of App'!$B$7:$AP$37,F$66,FALSE)</f>
        <v>0</v>
      </c>
      <c r="G74" s="16">
        <f>VLOOKUP($A74,'Mat of App'!$B$7:$AP$37,G$66,FALSE)</f>
        <v>0</v>
      </c>
      <c r="H74" s="16">
        <f>VLOOKUP($A74,'Mat of App'!$B$7:$AP$37,H$66,FALSE)</f>
        <v>0</v>
      </c>
      <c r="I74" s="16">
        <f>VLOOKUP($A74,'Mat of App'!$B$7:$AP$37,I$66,FALSE)</f>
        <v>0</v>
      </c>
      <c r="J74" s="10" t="s">
        <v>262</v>
      </c>
      <c r="K74"/>
    </row>
    <row r="75" spans="1:11" ht="15">
      <c r="A75" s="11" t="s">
        <v>1646</v>
      </c>
      <c r="B75" s="16">
        <f>VLOOKUP($A75,'Mat of App'!$B$7:$AP$37,B$66,FALSE)</f>
        <v>0</v>
      </c>
      <c r="C75" s="16">
        <f>VLOOKUP($A75,'Mat of App'!$B$7:$AP$37,C$66,FALSE)</f>
        <v>1</v>
      </c>
      <c r="D75" s="16">
        <f>VLOOKUP($A75,'Mat of App'!$B$7:$AP$37,D$66,FALSE)</f>
        <v>0</v>
      </c>
      <c r="E75" s="16">
        <f>VLOOKUP($A75,'Mat of App'!$B$7:$AP$37,E$66,FALSE)</f>
        <v>0</v>
      </c>
      <c r="F75" s="16">
        <f>VLOOKUP($A75,'Mat of App'!$B$7:$AP$37,F$66,FALSE)</f>
        <v>0</v>
      </c>
      <c r="G75" s="16">
        <f>VLOOKUP($A75,'Mat of App'!$B$7:$AP$37,G$66,FALSE)</f>
        <v>0</v>
      </c>
      <c r="H75" s="16">
        <f>VLOOKUP($A75,'Mat of App'!$B$7:$AP$37,H$66,FALSE)</f>
        <v>0</v>
      </c>
      <c r="I75" s="16">
        <f>VLOOKUP($A75,'Mat of App'!$B$7:$AP$37,I$66,FALSE)</f>
        <v>0</v>
      </c>
      <c r="J75" s="10" t="s">
        <v>262</v>
      </c>
      <c r="K75"/>
    </row>
    <row r="76" spans="1:11" ht="15">
      <c r="A76" s="11" t="s">
        <v>98</v>
      </c>
      <c r="B76" s="16">
        <f>VLOOKUP($A76,'Mat of App'!$B$7:$AP$37,B$66,FALSE)</f>
        <v>0</v>
      </c>
      <c r="C76" s="16">
        <f>VLOOKUP($A76,'Mat of App'!$B$7:$AP$37,C$66,FALSE)</f>
        <v>0</v>
      </c>
      <c r="D76" s="16">
        <f>VLOOKUP($A76,'Mat of App'!$B$7:$AP$37,D$66,FALSE)</f>
        <v>0</v>
      </c>
      <c r="E76" s="16">
        <f>VLOOKUP($A76,'Mat of App'!$B$7:$AP$37,E$66,FALSE)</f>
        <v>0</v>
      </c>
      <c r="F76" s="16">
        <f>VLOOKUP($A76,'Mat of App'!$B$7:$AP$37,F$66,FALSE)</f>
        <v>1</v>
      </c>
      <c r="G76" s="16">
        <f>VLOOKUP($A76,'Mat of App'!$B$7:$AP$37,G$66,FALSE)</f>
        <v>0</v>
      </c>
      <c r="H76" s="16">
        <f>VLOOKUP($A76,'Mat of App'!$B$7:$AP$37,H$66,FALSE)</f>
        <v>0</v>
      </c>
      <c r="I76" s="16">
        <f>VLOOKUP($A76,'Mat of App'!$B$7:$AP$37,I$66,FALSE)</f>
        <v>0</v>
      </c>
      <c r="J76" s="10" t="s">
        <v>262</v>
      </c>
      <c r="K76"/>
    </row>
    <row r="77" spans="1:11" ht="15">
      <c r="A77" s="11" t="s">
        <v>99</v>
      </c>
      <c r="B77" s="16">
        <f>VLOOKUP($A77,'Mat of App'!$B$7:$AP$37,B$66,FALSE)</f>
        <v>0</v>
      </c>
      <c r="C77" s="16">
        <f>VLOOKUP($A77,'Mat of App'!$B$7:$AP$37,C$66,FALSE)</f>
        <v>0</v>
      </c>
      <c r="D77" s="16">
        <f>VLOOKUP($A77,'Mat of App'!$B$7:$AP$37,D$66,FALSE)</f>
        <v>0</v>
      </c>
      <c r="E77" s="16">
        <f>VLOOKUP($A77,'Mat of App'!$B$7:$AP$37,E$66,FALSE)</f>
        <v>0</v>
      </c>
      <c r="F77" s="16">
        <f>VLOOKUP($A77,'Mat of App'!$B$7:$AP$37,F$66,FALSE)</f>
        <v>0</v>
      </c>
      <c r="G77" s="16">
        <f>VLOOKUP($A77,'Mat of App'!$B$7:$AP$37,G$66,FALSE)</f>
        <v>1</v>
      </c>
      <c r="H77" s="16">
        <f>VLOOKUP($A77,'Mat of App'!$B$7:$AP$37,H$66,FALSE)</f>
        <v>0</v>
      </c>
      <c r="I77" s="16">
        <f>VLOOKUP($A77,'Mat of App'!$B$7:$AP$37,I$66,FALSE)</f>
        <v>0</v>
      </c>
      <c r="J77" s="10" t="s">
        <v>262</v>
      </c>
      <c r="K77"/>
    </row>
    <row r="78" spans="1:11" ht="15">
      <c r="A78" s="11" t="s">
        <v>1645</v>
      </c>
      <c r="B78" s="16">
        <f>VLOOKUP($A78,'Mat of App'!$B$7:$AP$37,B$66,FALSE)</f>
        <v>0</v>
      </c>
      <c r="C78" s="16">
        <f>VLOOKUP($A78,'Mat of App'!$B$7:$AP$37,C$66,FALSE)</f>
        <v>0</v>
      </c>
      <c r="D78" s="16">
        <f>VLOOKUP($A78,'Mat of App'!$B$7:$AP$37,D$66,FALSE)</f>
        <v>0</v>
      </c>
      <c r="E78" s="16">
        <f>VLOOKUP($A78,'Mat of App'!$B$7:$AP$37,E$66,FALSE)</f>
        <v>0</v>
      </c>
      <c r="F78" s="16">
        <f>VLOOKUP($A78,'Mat of App'!$B$7:$AP$37,F$66,FALSE)</f>
        <v>0</v>
      </c>
      <c r="G78" s="16">
        <f>VLOOKUP($A78,'Mat of App'!$B$7:$AP$37,G$66,FALSE)</f>
        <v>0</v>
      </c>
      <c r="H78" s="16">
        <f>VLOOKUP($A78,'Mat of App'!$B$7:$AP$37,H$66,FALSE)</f>
        <v>1</v>
      </c>
      <c r="I78" s="16">
        <f>VLOOKUP($A78,'Mat of App'!$B$7:$AP$37,I$66,FALSE)</f>
        <v>0</v>
      </c>
      <c r="J78" s="10" t="s">
        <v>262</v>
      </c>
      <c r="K78"/>
    </row>
    <row r="79" spans="1:11" ht="15">
      <c r="A79" s="11" t="s">
        <v>100</v>
      </c>
      <c r="B79" s="16">
        <f>VLOOKUP($A79,'Mat of App'!$B$7:$AP$37,B$66,FALSE)</f>
        <v>0</v>
      </c>
      <c r="C79" s="16">
        <f>VLOOKUP($A79,'Mat of App'!$B$7:$AP$37,C$66,FALSE)</f>
        <v>0</v>
      </c>
      <c r="D79" s="16">
        <f>VLOOKUP($A79,'Mat of App'!$B$7:$AP$37,D$66,FALSE)</f>
        <v>0</v>
      </c>
      <c r="E79" s="16">
        <f>VLOOKUP($A79,'Mat of App'!$B$7:$AP$37,E$66,FALSE)</f>
        <v>0</v>
      </c>
      <c r="F79" s="16">
        <f>VLOOKUP($A79,'Mat of App'!$B$7:$AP$37,F$66,FALSE)</f>
        <v>0</v>
      </c>
      <c r="G79" s="16">
        <f>VLOOKUP($A79,'Mat of App'!$B$7:$AP$37,G$66,FALSE)</f>
        <v>0</v>
      </c>
      <c r="H79" s="16">
        <f>VLOOKUP($A79,'Mat of App'!$B$7:$AP$37,H$66,FALSE)</f>
        <v>1</v>
      </c>
      <c r="I79" s="16">
        <f>VLOOKUP($A79,'Mat of App'!$B$7:$AP$37,I$66,FALSE)</f>
        <v>0</v>
      </c>
      <c r="J79" s="10" t="s">
        <v>262</v>
      </c>
      <c r="K79"/>
    </row>
    <row r="80" spans="1:11" ht="15">
      <c r="A80" s="11" t="s">
        <v>101</v>
      </c>
      <c r="B80" s="16">
        <f>VLOOKUP($A80,'Mat of App'!$B$7:$AP$37,B$66,FALSE)</f>
        <v>0</v>
      </c>
      <c r="C80" s="16">
        <f>VLOOKUP($A80,'Mat of App'!$B$7:$AP$37,C$66,FALSE)</f>
        <v>0</v>
      </c>
      <c r="D80" s="16">
        <f>VLOOKUP($A80,'Mat of App'!$B$7:$AP$37,D$66,FALSE)</f>
        <v>0</v>
      </c>
      <c r="E80" s="16">
        <f>VLOOKUP($A80,'Mat of App'!$B$7:$AP$37,E$66,FALSE)</f>
        <v>0</v>
      </c>
      <c r="F80" s="16">
        <f>VLOOKUP($A80,'Mat of App'!$B$7:$AP$37,F$66,FALSE)</f>
        <v>0</v>
      </c>
      <c r="G80" s="16">
        <f>VLOOKUP($A80,'Mat of App'!$B$7:$AP$37,G$66,FALSE)</f>
        <v>0</v>
      </c>
      <c r="H80" s="16">
        <f>VLOOKUP($A80,'Mat of App'!$B$7:$AP$37,H$66,FALSE)</f>
        <v>1</v>
      </c>
      <c r="I80" s="16">
        <f>VLOOKUP($A80,'Mat of App'!$B$7:$AP$37,I$66,FALSE)</f>
        <v>0</v>
      </c>
      <c r="J80" s="10" t="s">
        <v>262</v>
      </c>
      <c r="K80"/>
    </row>
    <row r="81" spans="1:11" ht="15">
      <c r="A81" s="11" t="s">
        <v>102</v>
      </c>
      <c r="B81" s="16">
        <f>VLOOKUP($A81,'Mat of App'!$B$7:$AP$37,B$66,FALSE)</f>
        <v>0</v>
      </c>
      <c r="C81" s="16">
        <f>VLOOKUP($A81,'Mat of App'!$B$7:$AP$37,C$66,FALSE)</f>
        <v>0</v>
      </c>
      <c r="D81" s="16">
        <f>VLOOKUP($A81,'Mat of App'!$B$7:$AP$37,D$66,FALSE)</f>
        <v>0</v>
      </c>
      <c r="E81" s="16">
        <f>VLOOKUP($A81,'Mat of App'!$B$7:$AP$37,E$66,FALSE)</f>
        <v>0</v>
      </c>
      <c r="F81" s="16">
        <f>VLOOKUP($A81,'Mat of App'!$B$7:$AP$37,F$66,FALSE)</f>
        <v>0</v>
      </c>
      <c r="G81" s="16">
        <f>VLOOKUP($A81,'Mat of App'!$B$7:$AP$37,G$66,FALSE)</f>
        <v>0</v>
      </c>
      <c r="H81" s="16">
        <f>VLOOKUP($A81,'Mat of App'!$B$7:$AP$37,H$66,FALSE)</f>
        <v>0</v>
      </c>
      <c r="I81" s="16">
        <f>VLOOKUP($A81,'Mat of App'!$B$7:$AP$37,I$66,FALSE)</f>
        <v>0</v>
      </c>
      <c r="J81" s="10" t="s">
        <v>262</v>
      </c>
      <c r="K81"/>
    </row>
    <row r="82" spans="1:11" ht="15">
      <c r="A82" s="11" t="s">
        <v>103</v>
      </c>
      <c r="B82" s="16">
        <f>VLOOKUP($A82,'Mat of App'!$B$7:$AP$37,B$66,FALSE)</f>
        <v>0</v>
      </c>
      <c r="C82" s="16">
        <f>VLOOKUP($A82,'Mat of App'!$B$7:$AP$37,C$66,FALSE)</f>
        <v>0</v>
      </c>
      <c r="D82" s="16">
        <f>VLOOKUP($A82,'Mat of App'!$B$7:$AP$37,D$66,FALSE)</f>
        <v>0</v>
      </c>
      <c r="E82" s="16">
        <f>VLOOKUP($A82,'Mat of App'!$B$7:$AP$37,E$66,FALSE)</f>
        <v>0</v>
      </c>
      <c r="F82" s="16">
        <f>VLOOKUP($A82,'Mat of App'!$B$7:$AP$37,F$66,FALSE)</f>
        <v>0</v>
      </c>
      <c r="G82" s="16">
        <f>VLOOKUP($A82,'Mat of App'!$B$7:$AP$37,G$66,FALSE)</f>
        <v>0</v>
      </c>
      <c r="H82" s="16">
        <f>VLOOKUP($A82,'Mat of App'!$B$7:$AP$37,H$66,FALSE)</f>
        <v>0</v>
      </c>
      <c r="I82" s="16">
        <f>VLOOKUP($A82,'Mat of App'!$B$7:$AP$37,I$66,FALSE)</f>
        <v>0</v>
      </c>
      <c r="J82" s="10" t="s">
        <v>262</v>
      </c>
      <c r="K82"/>
    </row>
    <row r="83" spans="1:11" ht="15">
      <c r="A83" s="11" t="s">
        <v>104</v>
      </c>
      <c r="B83" s="16">
        <f>VLOOKUP($A83,'Mat of App'!$B$7:$AP$37,B$66,FALSE)</f>
        <v>0</v>
      </c>
      <c r="C83" s="16">
        <f>VLOOKUP($A83,'Mat of App'!$B$7:$AP$37,C$66,FALSE)</f>
        <v>0</v>
      </c>
      <c r="D83" s="16">
        <f>VLOOKUP($A83,'Mat of App'!$B$7:$AP$37,D$66,FALSE)</f>
        <v>0</v>
      </c>
      <c r="E83" s="16">
        <f>VLOOKUP($A83,'Mat of App'!$B$7:$AP$37,E$66,FALSE)</f>
        <v>0</v>
      </c>
      <c r="F83" s="16">
        <f>VLOOKUP($A83,'Mat of App'!$B$7:$AP$37,F$66,FALSE)</f>
        <v>0</v>
      </c>
      <c r="G83" s="16">
        <f>VLOOKUP($A83,'Mat of App'!$B$7:$AP$37,G$66,FALSE)</f>
        <v>0</v>
      </c>
      <c r="H83" s="16">
        <f>VLOOKUP($A83,'Mat of App'!$B$7:$AP$37,H$66,FALSE)</f>
        <v>0</v>
      </c>
      <c r="I83" s="16">
        <f>VLOOKUP($A83,'Mat of App'!$B$7:$AP$37,I$66,FALSE)</f>
        <v>0</v>
      </c>
      <c r="J83" s="10"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11"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0.48759999999999998</v>
      </c>
      <c r="J90" s="10"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17</v>
      </c>
      <c r="C93">
        <f>B93+1</f>
        <v>18</v>
      </c>
      <c r="D93">
        <f>C93+1</f>
        <v>19</v>
      </c>
      <c r="E93">
        <f>D93+1</f>
        <v>20</v>
      </c>
      <c r="F93">
        <f>E93+1</f>
        <v>21</v>
      </c>
      <c r="G93"/>
      <c r="H93"/>
      <c r="I93"/>
      <c r="J93"/>
      <c r="K93"/>
    </row>
    <row r="94" spans="1:11" ht="15">
      <c r="A94"/>
      <c r="B94" s="3" t="s">
        <v>85</v>
      </c>
      <c r="C94" s="3" t="s">
        <v>86</v>
      </c>
      <c r="D94" s="3" t="s">
        <v>87</v>
      </c>
      <c r="E94" s="3" t="s">
        <v>88</v>
      </c>
      <c r="F94" s="3" t="s">
        <v>89</v>
      </c>
      <c r="G94"/>
      <c r="H94"/>
      <c r="I94"/>
      <c r="J94"/>
      <c r="K94"/>
    </row>
    <row r="95" spans="1:11" ht="15">
      <c r="A95" s="11" t="s">
        <v>110</v>
      </c>
      <c r="B95" s="16">
        <f>VLOOKUP($A95,'Mat of App'!$B$7:$AP$37,B$93,FALSE)</f>
        <v>1</v>
      </c>
      <c r="C95" s="16">
        <f>VLOOKUP($A95,'Mat of App'!$B$7:$AP$37,C$93,FALSE)</f>
        <v>0</v>
      </c>
      <c r="D95" s="16">
        <f>VLOOKUP($A95,'Mat of App'!$B$7:$AP$37,D$93,FALSE)</f>
        <v>0</v>
      </c>
      <c r="E95" s="16">
        <f>VLOOKUP($A95,'Mat of App'!$B$7:$AP$37,E$93,FALSE)</f>
        <v>0</v>
      </c>
      <c r="F95" s="16">
        <f>VLOOKUP($A95,'Mat of App'!$B$7:$AP$37,F$93,FALSE)</f>
        <v>0</v>
      </c>
      <c r="G95" s="10" t="s">
        <v>262</v>
      </c>
      <c r="H95"/>
      <c r="I95"/>
      <c r="J95"/>
      <c r="K95"/>
    </row>
    <row r="96" spans="1:11" ht="15">
      <c r="A96" s="11" t="s">
        <v>111</v>
      </c>
      <c r="B96" s="16">
        <f>VLOOKUP($A96,'Mat of App'!$B$7:$AP$37,B$93,FALSE)</f>
        <v>1</v>
      </c>
      <c r="C96" s="16">
        <f>VLOOKUP($A96,'Mat of App'!$B$7:$AP$37,C$93,FALSE)</f>
        <v>0</v>
      </c>
      <c r="D96" s="16">
        <f>VLOOKUP($A96,'Mat of App'!$B$7:$AP$37,D$93,FALSE)</f>
        <v>0</v>
      </c>
      <c r="E96" s="16">
        <f>VLOOKUP($A96,'Mat of App'!$B$7:$AP$37,E$93,FALSE)</f>
        <v>0</v>
      </c>
      <c r="F96" s="16">
        <f>VLOOKUP($A96,'Mat of App'!$B$7:$AP$37,F$93,FALSE)</f>
        <v>0</v>
      </c>
      <c r="G96" s="10" t="s">
        <v>262</v>
      </c>
      <c r="H96"/>
      <c r="I96"/>
      <c r="J96"/>
      <c r="K96"/>
    </row>
    <row r="97" spans="1:11" customFormat="1" ht="15">
      <c r="A97" s="11" t="s">
        <v>112</v>
      </c>
      <c r="B97" s="16">
        <f>VLOOKUP($A97,'Mat of App'!$B$7:$AP$37,B$93,FALSE)</f>
        <v>0</v>
      </c>
      <c r="C97" s="16">
        <f>VLOOKUP($A97,'Mat of App'!$B$7:$AP$37,C$93,FALSE)</f>
        <v>1</v>
      </c>
      <c r="D97" s="16">
        <f>VLOOKUP($A97,'Mat of App'!$B$7:$AP$37,D$93,FALSE)</f>
        <v>0</v>
      </c>
      <c r="E97" s="16">
        <f>VLOOKUP($A97,'Mat of App'!$B$7:$AP$37,E$93,FALSE)</f>
        <v>0</v>
      </c>
      <c r="F97" s="16">
        <f>VLOOKUP($A97,'Mat of App'!$B$7:$AP$37,F$93,FALSE)</f>
        <v>0</v>
      </c>
      <c r="G97" s="10"/>
    </row>
    <row r="98" spans="1:11" customFormat="1" ht="15">
      <c r="A98" s="11" t="s">
        <v>113</v>
      </c>
      <c r="B98" s="16">
        <f>VLOOKUP($A98,'Mat of App'!$B$7:$AP$37,B$93,FALSE)</f>
        <v>0</v>
      </c>
      <c r="C98" s="16">
        <f>VLOOKUP($A98,'Mat of App'!$B$7:$AP$37,C$93,FALSE)</f>
        <v>1</v>
      </c>
      <c r="D98" s="16">
        <f>VLOOKUP($A98,'Mat of App'!$B$7:$AP$37,D$93,FALSE)</f>
        <v>0</v>
      </c>
      <c r="E98" s="16">
        <f>VLOOKUP($A98,'Mat of App'!$B$7:$AP$37,E$93,FALSE)</f>
        <v>0</v>
      </c>
      <c r="F98" s="16">
        <f>VLOOKUP($A98,'Mat of App'!$B$7:$AP$37,F$93,FALSE)</f>
        <v>0</v>
      </c>
      <c r="G98" s="10"/>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11" t="s">
        <v>116</v>
      </c>
      <c r="B104" s="4">
        <f>VLOOKUP(Vlookup!B69,'CDCM Forecast Data'!$A$14:$I$271,8,FALSE)</f>
        <v>1.0097</v>
      </c>
      <c r="C104" s="4">
        <f>VLOOKUP(Vlookup!C69,'CDCM Forecast Data'!$A$14:$I$271,8,FALSE)</f>
        <v>1.0142</v>
      </c>
      <c r="D104" s="4">
        <f>VLOOKUP(Vlookup!D69,'CDCM Forecast Data'!$A$14:$I$271,8,FALSE)</f>
        <v>1.0269999999999999</v>
      </c>
      <c r="E104" s="4">
        <f>VLOOKUP(Vlookup!E69,'CDCM Forecast Data'!$A$14:$I$271,8,FALSE)</f>
        <v>1.0348999999999999</v>
      </c>
      <c r="F104" s="4">
        <f>VLOOKUP(Vlookup!F69,'CDCM Forecast Data'!$A$14:$I$271,8,FALSE)</f>
        <v>1.0439000000000001</v>
      </c>
      <c r="G104" s="4">
        <f>VLOOKUP(Vlookup!G69,'CDCM Forecast Data'!$A$14:$I$271,8,FALSE)</f>
        <v>1.0640000000000001</v>
      </c>
      <c r="H104" s="4">
        <f>VLOOKUP(Vlookup!H69,'CDCM Forecast Data'!$A$14:$I$271,8,FALSE)</f>
        <v>1.085</v>
      </c>
      <c r="I104" s="10"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11" t="s">
        <v>124</v>
      </c>
      <c r="B110" s="8"/>
      <c r="C110" s="16">
        <f>VLOOKUP(Vlookup!C75,'CDCM Forecast Data'!$A$14:$I$271,8,FALSE)</f>
        <v>0.31963777193131604</v>
      </c>
      <c r="D110" s="16">
        <f>VLOOKUP(Vlookup!D75,'CDCM Forecast Data'!$A$14:$I$271,8,FALSE)</f>
        <v>0.63846715658715969</v>
      </c>
      <c r="E110" s="16">
        <f>VLOOKUP(Vlookup!E75,'CDCM Forecast Data'!$A$14:$I$271,8,FALSE)</f>
        <v>0.45349156811055275</v>
      </c>
      <c r="F110" s="16">
        <f>VLOOKUP(Vlookup!F75,'CDCM Forecast Data'!$A$14:$I$271,8,FALSE)</f>
        <v>0.34444405043316395</v>
      </c>
      <c r="G110" s="10"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11" t="s">
        <v>92</v>
      </c>
      <c r="B116" s="4">
        <f>VLOOKUP(Vlookup!B81,'CDCM Forecast Data'!$A$14:$I$271,6,FALSE)</f>
        <v>0.85759516031476501</v>
      </c>
      <c r="C116" s="4">
        <f>VLOOKUP(Vlookup!C81,'CDCM Forecast Data'!$A$14:$I$271,6,FALSE)</f>
        <v>0.44003574379694171</v>
      </c>
      <c r="D116" s="10" t="s">
        <v>262</v>
      </c>
      <c r="E116"/>
      <c r="F116"/>
      <c r="G116"/>
      <c r="H116"/>
      <c r="I116"/>
      <c r="J116"/>
      <c r="K116"/>
    </row>
    <row r="117" spans="1:11" ht="15">
      <c r="A117" s="11" t="s">
        <v>93</v>
      </c>
      <c r="B117" s="4">
        <f>VLOOKUP(Vlookup!B82,'CDCM Forecast Data'!$A$14:$I$271,6,FALSE)</f>
        <v>0.28862941872680464</v>
      </c>
      <c r="C117" s="4">
        <f>VLOOKUP(Vlookup!C82,'CDCM Forecast Data'!$A$14:$I$271,6,FALSE)</f>
        <v>0.24997898838710139</v>
      </c>
      <c r="D117" s="10" t="s">
        <v>262</v>
      </c>
      <c r="E117"/>
      <c r="F117"/>
      <c r="G117"/>
      <c r="H117"/>
      <c r="I117"/>
      <c r="J117"/>
      <c r="K117"/>
    </row>
    <row r="118" spans="1:11" ht="15">
      <c r="A118" s="11" t="s">
        <v>129</v>
      </c>
      <c r="B118" s="8"/>
      <c r="C118" s="4">
        <f>VLOOKUP(Vlookup!C83,'CDCM Forecast Data'!$A$14:$I$271,6,FALSE)</f>
        <v>0.25721840525583911</v>
      </c>
      <c r="D118" s="10" t="s">
        <v>262</v>
      </c>
      <c r="E118"/>
      <c r="F118"/>
      <c r="G118"/>
      <c r="H118"/>
      <c r="I118"/>
      <c r="J118"/>
      <c r="K118"/>
    </row>
    <row r="119" spans="1:11" ht="15">
      <c r="A119" s="11" t="s">
        <v>94</v>
      </c>
      <c r="B119" s="4">
        <f>VLOOKUP(Vlookup!B84,'CDCM Forecast Data'!$A$14:$I$271,6,FALSE)</f>
        <v>0.63063099162887759</v>
      </c>
      <c r="C119" s="4">
        <f>VLOOKUP(Vlookup!C84,'CDCM Forecast Data'!$A$14:$I$271,6,FALSE)</f>
        <v>0.41141924234461547</v>
      </c>
      <c r="D119" s="10" t="s">
        <v>262</v>
      </c>
      <c r="E119"/>
      <c r="F119"/>
      <c r="G119"/>
      <c r="H119"/>
      <c r="I119"/>
      <c r="J119"/>
      <c r="K119"/>
    </row>
    <row r="120" spans="1:11" ht="15">
      <c r="A120" s="11" t="s">
        <v>95</v>
      </c>
      <c r="B120" s="4">
        <f>VLOOKUP(Vlookup!B85,'CDCM Forecast Data'!$A$14:$I$271,6,FALSE)</f>
        <v>0.72549700914004911</v>
      </c>
      <c r="C120" s="4">
        <f>VLOOKUP(Vlookup!C85,'CDCM Forecast Data'!$A$14:$I$271,6,FALSE)</f>
        <v>0.55069014186184517</v>
      </c>
      <c r="D120" s="10" t="s">
        <v>262</v>
      </c>
      <c r="E120"/>
      <c r="F120"/>
      <c r="G120"/>
      <c r="H120"/>
      <c r="I120"/>
      <c r="J120"/>
      <c r="K120"/>
    </row>
    <row r="121" spans="1:11" ht="15">
      <c r="A121" s="11" t="s">
        <v>130</v>
      </c>
      <c r="B121" s="8"/>
      <c r="C121" s="4">
        <f>VLOOKUP(Vlookup!C86,'CDCM Forecast Data'!$A$14:$I$271,6,FALSE)</f>
        <v>0.28056285937387915</v>
      </c>
      <c r="D121" s="10" t="s">
        <v>262</v>
      </c>
      <c r="E121"/>
      <c r="F121"/>
      <c r="G121"/>
      <c r="H121"/>
      <c r="I121"/>
      <c r="J121"/>
      <c r="K121"/>
    </row>
    <row r="122" spans="1:11" ht="15">
      <c r="A122" s="11" t="s">
        <v>96</v>
      </c>
      <c r="B122" s="4">
        <f>VLOOKUP(Vlookup!B87,'CDCM Forecast Data'!$A$14:$I$271,6,FALSE)</f>
        <v>0.77193739705983777</v>
      </c>
      <c r="C122" s="4">
        <f>VLOOKUP(Vlookup!C87,'CDCM Forecast Data'!$A$14:$I$271,6,FALSE)</f>
        <v>0.54202643928388716</v>
      </c>
      <c r="D122" s="10" t="s">
        <v>262</v>
      </c>
      <c r="E122"/>
      <c r="F122"/>
      <c r="G122"/>
      <c r="H122"/>
      <c r="I122"/>
      <c r="J122"/>
      <c r="K122"/>
    </row>
    <row r="123" spans="1:11" ht="15">
      <c r="A123" s="11" t="s">
        <v>97</v>
      </c>
      <c r="B123" s="4">
        <f>VLOOKUP(Vlookup!B88,'CDCM Forecast Data'!$A$14:$I$271,6,FALSE)</f>
        <v>0.77193739705983777</v>
      </c>
      <c r="C123" s="4">
        <f>VLOOKUP(Vlookup!C88,'CDCM Forecast Data'!$A$14:$I$271,6,FALSE)</f>
        <v>0.54202643928388716</v>
      </c>
      <c r="D123" s="10" t="s">
        <v>262</v>
      </c>
      <c r="E123"/>
      <c r="F123"/>
      <c r="G123"/>
      <c r="H123"/>
      <c r="I123"/>
      <c r="J123"/>
      <c r="K123"/>
    </row>
    <row r="124" spans="1:11" ht="15">
      <c r="A124" s="11" t="s">
        <v>110</v>
      </c>
      <c r="B124" s="4">
        <f>VLOOKUP(Vlookup!B89,'CDCM Forecast Data'!$A$14:$I$271,6,FALSE)</f>
        <v>0.5147350712369958</v>
      </c>
      <c r="C124" s="4">
        <f>VLOOKUP(Vlookup!C89,'CDCM Forecast Data'!$A$14:$I$271,6,FALSE)</f>
        <v>0.37297691878220807</v>
      </c>
      <c r="D124" s="10" t="s">
        <v>262</v>
      </c>
      <c r="E124"/>
      <c r="F124"/>
      <c r="G124"/>
      <c r="H124"/>
      <c r="I124"/>
      <c r="J124"/>
      <c r="K124"/>
    </row>
    <row r="125" spans="1:11" ht="15">
      <c r="A125" s="11" t="s">
        <v>1647</v>
      </c>
      <c r="B125" s="4">
        <f>VLOOKUP(Vlookup!B90,'CDCM Forecast Data'!$A$14:$I$271,6,FALSE)</f>
        <v>0.82538148778829346</v>
      </c>
      <c r="C125" s="4">
        <f>VLOOKUP(Vlookup!C90,'CDCM Forecast Data'!$A$14:$I$271,6,FALSE)</f>
        <v>0.42910585224417291</v>
      </c>
      <c r="D125" s="10" t="s">
        <v>262</v>
      </c>
      <c r="E125"/>
      <c r="F125"/>
      <c r="G125"/>
      <c r="H125"/>
      <c r="I125"/>
      <c r="J125"/>
      <c r="K125"/>
    </row>
    <row r="126" spans="1:11" ht="15">
      <c r="A126" s="11" t="s">
        <v>1646</v>
      </c>
      <c r="B126" s="4">
        <f>VLOOKUP(Vlookup!B91,'CDCM Forecast Data'!$A$14:$I$271,6,FALSE)</f>
        <v>0.64712654999949026</v>
      </c>
      <c r="C126" s="4">
        <f>VLOOKUP(Vlookup!C91,'CDCM Forecast Data'!$A$14:$I$271,6,FALSE)</f>
        <v>0.43505682103944454</v>
      </c>
      <c r="D126" s="10" t="s">
        <v>262</v>
      </c>
      <c r="E126"/>
      <c r="F126"/>
      <c r="G126"/>
      <c r="H126"/>
      <c r="I126"/>
      <c r="J126"/>
      <c r="K126"/>
    </row>
    <row r="127" spans="1:11" ht="15">
      <c r="A127" s="11" t="s">
        <v>98</v>
      </c>
      <c r="B127" s="4">
        <f>VLOOKUP(Vlookup!B92,'CDCM Forecast Data'!$A$14:$I$271,6,FALSE)</f>
        <v>0.76513583991019607</v>
      </c>
      <c r="C127" s="4">
        <f>VLOOKUP(Vlookup!C92,'CDCM Forecast Data'!$A$14:$I$271,6,FALSE)</f>
        <v>0.58780986597120821</v>
      </c>
      <c r="D127" s="10" t="s">
        <v>262</v>
      </c>
      <c r="E127"/>
      <c r="F127"/>
      <c r="G127"/>
      <c r="H127"/>
      <c r="I127"/>
      <c r="J127"/>
      <c r="K127"/>
    </row>
    <row r="128" spans="1:11" ht="15">
      <c r="A128" s="11" t="s">
        <v>99</v>
      </c>
      <c r="B128" s="4">
        <f>VLOOKUP(Vlookup!B93,'CDCM Forecast Data'!$A$14:$I$271,6,FALSE)</f>
        <v>0.76513583991019607</v>
      </c>
      <c r="C128" s="4">
        <f>VLOOKUP(Vlookup!C93,'CDCM Forecast Data'!$A$14:$I$271,6,FALSE)</f>
        <v>0.58780986597120821</v>
      </c>
      <c r="D128" s="10"/>
      <c r="E128"/>
      <c r="F128"/>
      <c r="G128"/>
      <c r="H128"/>
      <c r="I128"/>
      <c r="J128"/>
      <c r="K128"/>
    </row>
    <row r="129" spans="1:11" ht="15">
      <c r="A129" s="11" t="s">
        <v>111</v>
      </c>
      <c r="B129" s="4">
        <f>VLOOKUP(Vlookup!B94,'CDCM Forecast Data'!$A$14:$I$271,6,FALSE)</f>
        <v>0.85096169090232854</v>
      </c>
      <c r="C129" s="4">
        <f>VLOOKUP(Vlookup!C94,'CDCM Forecast Data'!$A$14:$I$271,6,FALSE)</f>
        <v>0.73762935772845595</v>
      </c>
      <c r="D129" s="10"/>
      <c r="E129"/>
      <c r="F129"/>
      <c r="G129"/>
      <c r="H129"/>
      <c r="I129"/>
      <c r="J129"/>
      <c r="K129"/>
    </row>
    <row r="130" spans="1:11" ht="15">
      <c r="A130" s="11" t="s">
        <v>131</v>
      </c>
      <c r="B130" s="4">
        <f>VLOOKUP(Vlookup!B95,'CDCM Forecast Data'!$A$14:$I$271,6,FALSE)</f>
        <v>1</v>
      </c>
      <c r="C130" s="4">
        <f>VLOOKUP(Vlookup!C95,'CDCM Forecast Data'!$A$14:$I$271,6,FALSE)</f>
        <v>1</v>
      </c>
      <c r="D130" s="10" t="s">
        <v>262</v>
      </c>
      <c r="E130"/>
      <c r="F130"/>
      <c r="G130"/>
      <c r="H130"/>
      <c r="I130"/>
      <c r="J130"/>
      <c r="K130"/>
    </row>
    <row r="131" spans="1:11" ht="15">
      <c r="A131" s="11" t="s">
        <v>132</v>
      </c>
      <c r="B131" s="4">
        <f>VLOOKUP(Vlookup!B96,'CDCM Forecast Data'!$A$14:$I$271,6,FALSE)</f>
        <v>0.99388353345735381</v>
      </c>
      <c r="C131" s="4">
        <f>VLOOKUP(Vlookup!C96,'CDCM Forecast Data'!$A$14:$I$271,6,FALSE)</f>
        <v>0.47309957267296898</v>
      </c>
      <c r="D131" s="10"/>
      <c r="E131"/>
      <c r="F131"/>
      <c r="G131"/>
      <c r="H131"/>
      <c r="I131"/>
      <c r="J131"/>
      <c r="K131"/>
    </row>
    <row r="132" spans="1:11" ht="15">
      <c r="A132" s="11" t="s">
        <v>133</v>
      </c>
      <c r="B132" s="4">
        <f>VLOOKUP(Vlookup!B97,'CDCM Forecast Data'!$A$14:$I$271,6,FALSE)</f>
        <v>0.75050100200400804</v>
      </c>
      <c r="C132" s="4">
        <f>VLOOKUP(Vlookup!C97,'CDCM Forecast Data'!$A$14:$I$271,6,FALSE)</f>
        <v>0.24527046603861322</v>
      </c>
      <c r="D132" s="10"/>
      <c r="E132"/>
      <c r="F132"/>
      <c r="G132"/>
      <c r="H132"/>
      <c r="I132"/>
      <c r="J132"/>
      <c r="K132"/>
    </row>
    <row r="133" spans="1:11" ht="15">
      <c r="A133" s="11" t="s">
        <v>134</v>
      </c>
      <c r="B133" s="4">
        <f>VLOOKUP(Vlookup!B98,'CDCM Forecast Data'!$A$14:$I$271,6,FALSE)</f>
        <v>0</v>
      </c>
      <c r="C133" s="4">
        <f>VLOOKUP(Vlookup!C98,'CDCM Forecast Data'!$A$14:$I$271,6,FALSE)</f>
        <v>0.51417471713179308</v>
      </c>
      <c r="D133" s="10"/>
      <c r="E133"/>
      <c r="F133"/>
      <c r="G133"/>
      <c r="H133"/>
      <c r="I133"/>
      <c r="J133"/>
      <c r="K133"/>
    </row>
    <row r="134" spans="1:11" ht="15">
      <c r="A134" s="11" t="s">
        <v>135</v>
      </c>
      <c r="B134" s="4">
        <f>VLOOKUP(Vlookup!B99,'CDCM Forecast Data'!$A$14:$I$271,6,FALSE)</f>
        <v>0.97898179724204526</v>
      </c>
      <c r="C134" s="4">
        <f>VLOOKUP(Vlookup!C99,'CDCM Forecast Data'!$A$14:$I$271,6,FALSE)</f>
        <v>0.47429529311509694</v>
      </c>
      <c r="D134" s="10"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22</v>
      </c>
      <c r="C137">
        <v>23</v>
      </c>
      <c r="D137">
        <v>24</v>
      </c>
      <c r="E137">
        <v>25</v>
      </c>
      <c r="F137">
        <v>26</v>
      </c>
      <c r="G137">
        <v>27</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7" t="s">
        <v>146</v>
      </c>
      <c r="B142" s="18">
        <f>VLOOKUP(Vlookup!$B107,'CDCM Volume Forecasts'!$A$27:$AG$123,B$137,FALSE)</f>
        <v>0</v>
      </c>
      <c r="C142" s="18">
        <f>VLOOKUP(Vlookup!$B107,'CDCM Volume Forecasts'!$A$27:$AG$123,C$137,FALSE)</f>
        <v>0</v>
      </c>
      <c r="D142" s="18">
        <f>VLOOKUP(Vlookup!$B107,'CDCM Volume Forecasts'!$A$27:$AG$123,D$137,FALSE)</f>
        <v>0</v>
      </c>
      <c r="E142" s="18">
        <f>VLOOKUP(Vlookup!$B107,'CDCM Volume Forecasts'!$A$27:$AG$123,E$137,FALSE)</f>
        <v>0</v>
      </c>
      <c r="F142" s="18">
        <f>VLOOKUP(Vlookup!$B107,'CDCM Volume Forecasts'!$A$27:$AG$123,F$137,FALSE)</f>
        <v>0</v>
      </c>
      <c r="G142" s="18">
        <f>VLOOKUP(Vlookup!$B107,'CDCM Volume Forecasts'!$A$27:$AG$123,G$137,FALSE)</f>
        <v>0</v>
      </c>
      <c r="H142" s="10"/>
      <c r="I142"/>
      <c r="J142"/>
      <c r="K142"/>
    </row>
    <row r="143" spans="1:11" ht="15">
      <c r="A143" s="11" t="s">
        <v>92</v>
      </c>
      <c r="B143" s="4">
        <f>VLOOKUP(Vlookup!$B108,'CDCM Volume Forecasts'!$A$27:$AG$123,B$137,FALSE)</f>
        <v>3242264.655750392</v>
      </c>
      <c r="C143" s="8">
        <f>VLOOKUP(Vlookup!$B108,'CDCM Volume Forecasts'!$A$27:$AG$123,C$137,FALSE)</f>
        <v>0</v>
      </c>
      <c r="D143" s="8">
        <f>VLOOKUP(Vlookup!$B108,'CDCM Volume Forecasts'!$A$27:$AG$123,D$137,FALSE)</f>
        <v>0</v>
      </c>
      <c r="E143" s="14">
        <f>VLOOKUP(Vlookup!$B108,'CDCM Volume Forecasts'!$A$27:$AG$123,E$137,FALSE)</f>
        <v>964740</v>
      </c>
      <c r="F143" s="8">
        <f>VLOOKUP(Vlookup!$B108,'CDCM Volume Forecasts'!$A$27:$AG$123,F$137,FALSE)</f>
        <v>0</v>
      </c>
      <c r="G143" s="8">
        <f>VLOOKUP(Vlookup!$B108,'CDCM Volume Forecasts'!$A$27:$AG$123,G$137,FALSE)</f>
        <v>0</v>
      </c>
      <c r="H143" s="10"/>
      <c r="I143"/>
      <c r="J143"/>
      <c r="K143"/>
    </row>
    <row r="144" spans="1:11" ht="15">
      <c r="A144" s="11" t="s">
        <v>147</v>
      </c>
      <c r="B144" s="4">
        <f>VLOOKUP(Vlookup!$B109,'CDCM Volume Forecasts'!$A$27:$AG$123,B$137,FALSE)</f>
        <v>2870.3349849031706</v>
      </c>
      <c r="C144" s="8">
        <f>VLOOKUP(Vlookup!$B109,'CDCM Volume Forecasts'!$A$27:$AG$123,C$137,FALSE)</f>
        <v>0</v>
      </c>
      <c r="D144" s="8">
        <f>VLOOKUP(Vlookup!$B109,'CDCM Volume Forecasts'!$A$27:$AG$123,D$137,FALSE)</f>
        <v>0</v>
      </c>
      <c r="E144" s="14">
        <f>VLOOKUP(Vlookup!$B109,'CDCM Volume Forecasts'!$A$27:$AG$123,E$137,FALSE)</f>
        <v>893</v>
      </c>
      <c r="F144" s="8">
        <f>VLOOKUP(Vlookup!$B109,'CDCM Volume Forecasts'!$A$27:$AG$123,F$137,FALSE)</f>
        <v>0</v>
      </c>
      <c r="G144" s="8">
        <f>VLOOKUP(Vlookup!$B109,'CDCM Volume Forecasts'!$A$27:$AG$123,G$137,FALSE)</f>
        <v>0</v>
      </c>
      <c r="H144" s="10"/>
      <c r="I144"/>
      <c r="J144"/>
      <c r="K144"/>
    </row>
    <row r="145" spans="1:11" ht="15">
      <c r="A145" s="11" t="s">
        <v>148</v>
      </c>
      <c r="B145" s="4">
        <f>VLOOKUP(Vlookup!$B110,'CDCM Volume Forecasts'!$A$27:$AG$123,B$137,FALSE)</f>
        <v>11376.82714716523</v>
      </c>
      <c r="C145" s="8">
        <f>VLOOKUP(Vlookup!$B110,'CDCM Volume Forecasts'!$A$27:$AG$123,C$137,FALSE)</f>
        <v>0</v>
      </c>
      <c r="D145" s="8">
        <f>VLOOKUP(Vlookup!$B110,'CDCM Volume Forecasts'!$A$27:$AG$123,D$137,FALSE)</f>
        <v>0</v>
      </c>
      <c r="E145" s="14">
        <f>VLOOKUP(Vlookup!$B110,'CDCM Volume Forecasts'!$A$27:$AG$123,E$137,FALSE)</f>
        <v>3843</v>
      </c>
      <c r="F145" s="8">
        <f>VLOOKUP(Vlookup!$B110,'CDCM Volume Forecasts'!$A$27:$AG$123,F$137,FALSE)</f>
        <v>0</v>
      </c>
      <c r="G145" s="8">
        <f>VLOOKUP(Vlookup!$B110,'CDCM Volume Forecasts'!$A$27:$AG$123,G$137,FALSE)</f>
        <v>0</v>
      </c>
      <c r="H145" s="10"/>
      <c r="I145"/>
      <c r="J145"/>
      <c r="K145"/>
    </row>
    <row r="146" spans="1:11" ht="15">
      <c r="A146" s="17" t="s">
        <v>149</v>
      </c>
      <c r="B146" s="18">
        <f>VLOOKUP(Vlookup!$B111,'CDCM Volume Forecasts'!$A$27:$AG$123,B$137,FALSE)</f>
        <v>0</v>
      </c>
      <c r="C146" s="18">
        <f>VLOOKUP(Vlookup!$B111,'CDCM Volume Forecasts'!$A$27:$AG$123,C$137,FALSE)</f>
        <v>0</v>
      </c>
      <c r="D146" s="18">
        <f>VLOOKUP(Vlookup!$B111,'CDCM Volume Forecasts'!$A$27:$AG$123,D$137,FALSE)</f>
        <v>0</v>
      </c>
      <c r="E146" s="18">
        <f>VLOOKUP(Vlookup!$B111,'CDCM Volume Forecasts'!$A$27:$AG$123,E$137,FALSE)</f>
        <v>0</v>
      </c>
      <c r="F146" s="18">
        <f>VLOOKUP(Vlookup!$B111,'CDCM Volume Forecasts'!$A$27:$AG$123,F$137,FALSE)</f>
        <v>0</v>
      </c>
      <c r="G146" s="18">
        <f>VLOOKUP(Vlookup!$B111,'CDCM Volume Forecasts'!$A$27:$AG$123,G$137,FALSE)</f>
        <v>0</v>
      </c>
      <c r="H146" s="10"/>
      <c r="I146"/>
      <c r="J146"/>
      <c r="K146"/>
    </row>
    <row r="147" spans="1:11" ht="15">
      <c r="A147" s="11" t="s">
        <v>93</v>
      </c>
      <c r="B147" s="4">
        <f>VLOOKUP(Vlookup!$B112,'CDCM Volume Forecasts'!$A$27:$AG$123,B$137,FALSE)</f>
        <v>174847.88943573163</v>
      </c>
      <c r="C147" s="4">
        <f>VLOOKUP(Vlookup!$B112,'CDCM Volume Forecasts'!$A$27:$AG$123,C$137,FALSE)</f>
        <v>180701.55632797108</v>
      </c>
      <c r="D147" s="8">
        <f>VLOOKUP(Vlookup!$B112,'CDCM Volume Forecasts'!$A$27:$AG$123,D$137,FALSE)</f>
        <v>0</v>
      </c>
      <c r="E147" s="14">
        <f>VLOOKUP(Vlookup!$B112,'CDCM Volume Forecasts'!$A$27:$AG$123,E$137,FALSE)</f>
        <v>58083</v>
      </c>
      <c r="F147" s="8">
        <f>VLOOKUP(Vlookup!$B112,'CDCM Volume Forecasts'!$A$27:$AG$123,F$137,FALSE)</f>
        <v>0</v>
      </c>
      <c r="G147" s="8">
        <f>VLOOKUP(Vlookup!$B112,'CDCM Volume Forecasts'!$A$27:$AG$123,G$137,FALSE)</f>
        <v>0</v>
      </c>
      <c r="H147" s="10"/>
      <c r="I147"/>
      <c r="J147"/>
      <c r="K147"/>
    </row>
    <row r="148" spans="1:11" ht="15">
      <c r="A148" s="11" t="s">
        <v>150</v>
      </c>
      <c r="B148" s="4">
        <f>VLOOKUP(Vlookup!$B113,'CDCM Volume Forecasts'!$A$27:$AG$123,B$137,FALSE)</f>
        <v>262.98719224025433</v>
      </c>
      <c r="C148" s="4">
        <f>VLOOKUP(Vlookup!$B113,'CDCM Volume Forecasts'!$A$27:$AG$123,C$137,FALSE)</f>
        <v>6585.6695296550351</v>
      </c>
      <c r="D148" s="8">
        <f>VLOOKUP(Vlookup!$B113,'CDCM Volume Forecasts'!$A$27:$AG$123,D$137,FALSE)</f>
        <v>0</v>
      </c>
      <c r="E148" s="14">
        <f>VLOOKUP(Vlookup!$B113,'CDCM Volume Forecasts'!$A$27:$AG$123,E$137,FALSE)</f>
        <v>21</v>
      </c>
      <c r="F148" s="8">
        <f>VLOOKUP(Vlookup!$B113,'CDCM Volume Forecasts'!$A$27:$AG$123,F$137,FALSE)</f>
        <v>0</v>
      </c>
      <c r="G148" s="8">
        <f>VLOOKUP(Vlookup!$B113,'CDCM Volume Forecasts'!$A$27:$AG$123,G$137,FALSE)</f>
        <v>0</v>
      </c>
      <c r="H148" s="10"/>
      <c r="I148"/>
      <c r="J148"/>
      <c r="K148"/>
    </row>
    <row r="149" spans="1:11" ht="15">
      <c r="A149" s="11" t="s">
        <v>151</v>
      </c>
      <c r="B149" s="4">
        <f>VLOOKUP(Vlookup!$B114,'CDCM Volume Forecasts'!$A$27:$AG$123,B$137,FALSE)</f>
        <v>256.3006220521292</v>
      </c>
      <c r="C149" s="4">
        <f>VLOOKUP(Vlookup!$B114,'CDCM Volume Forecasts'!$A$27:$AG$123,C$137,FALSE)</f>
        <v>349.8743055243375</v>
      </c>
      <c r="D149" s="8">
        <f>VLOOKUP(Vlookup!$B114,'CDCM Volume Forecasts'!$A$27:$AG$123,D$137,FALSE)</f>
        <v>0</v>
      </c>
      <c r="E149" s="14">
        <f>VLOOKUP(Vlookup!$B114,'CDCM Volume Forecasts'!$A$27:$AG$123,E$137,FALSE)</f>
        <v>80</v>
      </c>
      <c r="F149" s="8">
        <f>VLOOKUP(Vlookup!$B114,'CDCM Volume Forecasts'!$A$27:$AG$123,F$137,FALSE)</f>
        <v>0</v>
      </c>
      <c r="G149" s="8">
        <f>VLOOKUP(Vlookup!$B114,'CDCM Volume Forecasts'!$A$27:$AG$123,G$137,FALSE)</f>
        <v>0</v>
      </c>
      <c r="H149" s="10"/>
      <c r="I149"/>
      <c r="J149"/>
      <c r="K149"/>
    </row>
    <row r="150" spans="1:11" ht="15">
      <c r="A150" s="17" t="s">
        <v>152</v>
      </c>
      <c r="B150" s="18">
        <f>VLOOKUP(Vlookup!$B115,'CDCM Volume Forecasts'!$A$27:$AG$123,B$137,FALSE)</f>
        <v>0</v>
      </c>
      <c r="C150" s="18">
        <f>VLOOKUP(Vlookup!$B115,'CDCM Volume Forecasts'!$A$27:$AG$123,C$137,FALSE)</f>
        <v>0</v>
      </c>
      <c r="D150" s="18">
        <f>VLOOKUP(Vlookup!$B115,'CDCM Volume Forecasts'!$A$27:$AG$123,D$137,FALSE)</f>
        <v>0</v>
      </c>
      <c r="E150" s="18">
        <f>VLOOKUP(Vlookup!$B115,'CDCM Volume Forecasts'!$A$27:$AG$123,E$137,FALSE)</f>
        <v>0</v>
      </c>
      <c r="F150" s="18">
        <f>VLOOKUP(Vlookup!$B115,'CDCM Volume Forecasts'!$A$27:$AG$123,F$137,FALSE)</f>
        <v>0</v>
      </c>
      <c r="G150" s="18">
        <f>VLOOKUP(Vlookup!$B115,'CDCM Volume Forecasts'!$A$27:$AG$123,G$137,FALSE)</f>
        <v>0</v>
      </c>
      <c r="H150" s="10"/>
      <c r="I150"/>
      <c r="J150"/>
      <c r="K150"/>
    </row>
    <row r="151" spans="1:11" ht="15">
      <c r="A151" s="11" t="s">
        <v>129</v>
      </c>
      <c r="B151" s="4">
        <f>VLOOKUP(Vlookup!$B116,'CDCM Volume Forecasts'!$A$27:$AG$123,B$137,FALSE)</f>
        <v>3613.1440975729997</v>
      </c>
      <c r="C151" s="8">
        <f>VLOOKUP(Vlookup!$B116,'CDCM Volume Forecasts'!$A$27:$AG$123,C$137,FALSE)</f>
        <v>0</v>
      </c>
      <c r="D151" s="8">
        <f>VLOOKUP(Vlookup!$B116,'CDCM Volume Forecasts'!$A$27:$AG$123,D$137,FALSE)</f>
        <v>0</v>
      </c>
      <c r="E151" s="14">
        <f>VLOOKUP(Vlookup!$B116,'CDCM Volume Forecasts'!$A$27:$AG$123,E$137,FALSE)</f>
        <v>0</v>
      </c>
      <c r="F151" s="8">
        <f>VLOOKUP(Vlookup!$B116,'CDCM Volume Forecasts'!$A$27:$AG$123,F$137,FALSE)</f>
        <v>0</v>
      </c>
      <c r="G151" s="8">
        <f>VLOOKUP(Vlookup!$B116,'CDCM Volume Forecasts'!$A$27:$AG$123,G$137,FALSE)</f>
        <v>0</v>
      </c>
      <c r="H151" s="10"/>
      <c r="I151"/>
      <c r="J151"/>
      <c r="K151"/>
    </row>
    <row r="152" spans="1:11" ht="15">
      <c r="A152" s="11" t="s">
        <v>153</v>
      </c>
      <c r="B152" s="4">
        <f>VLOOKUP(Vlookup!$B117,'CDCM Volume Forecasts'!$A$27:$AG$123,B$137,FALSE)</f>
        <v>0</v>
      </c>
      <c r="C152" s="8">
        <f>VLOOKUP(Vlookup!$B117,'CDCM Volume Forecasts'!$A$27:$AG$123,C$137,FALSE)</f>
        <v>0</v>
      </c>
      <c r="D152" s="8">
        <f>VLOOKUP(Vlookup!$B117,'CDCM Volume Forecasts'!$A$27:$AG$123,D$137,FALSE)</f>
        <v>0</v>
      </c>
      <c r="E152" s="14">
        <f>VLOOKUP(Vlookup!$B117,'CDCM Volume Forecasts'!$A$27:$AG$123,E$137,FALSE)</f>
        <v>0</v>
      </c>
      <c r="F152" s="8">
        <f>VLOOKUP(Vlookup!$B117,'CDCM Volume Forecasts'!$A$27:$AG$123,F$137,FALSE)</f>
        <v>0</v>
      </c>
      <c r="G152" s="8">
        <f>VLOOKUP(Vlookup!$B117,'CDCM Volume Forecasts'!$A$27:$AG$123,G$137,FALSE)</f>
        <v>0</v>
      </c>
      <c r="H152" s="10"/>
      <c r="I152"/>
      <c r="J152"/>
      <c r="K152"/>
    </row>
    <row r="153" spans="1:11" ht="15">
      <c r="A153" s="11" t="s">
        <v>154</v>
      </c>
      <c r="B153" s="4">
        <f>VLOOKUP(Vlookup!$B118,'CDCM Volume Forecasts'!$A$27:$AG$123,B$137,FALSE)</f>
        <v>0</v>
      </c>
      <c r="C153" s="8">
        <f>VLOOKUP(Vlookup!$B118,'CDCM Volume Forecasts'!$A$27:$AG$123,C$137,FALSE)</f>
        <v>0</v>
      </c>
      <c r="D153" s="8">
        <f>VLOOKUP(Vlookup!$B118,'CDCM Volume Forecasts'!$A$27:$AG$123,D$137,FALSE)</f>
        <v>0</v>
      </c>
      <c r="E153" s="14">
        <f>VLOOKUP(Vlookup!$B118,'CDCM Volume Forecasts'!$A$27:$AG$123,E$137,FALSE)</f>
        <v>0</v>
      </c>
      <c r="F153" s="8">
        <f>VLOOKUP(Vlookup!$B118,'CDCM Volume Forecasts'!$A$27:$AG$123,F$137,FALSE)</f>
        <v>0</v>
      </c>
      <c r="G153" s="8">
        <f>VLOOKUP(Vlookup!$B118,'CDCM Volume Forecasts'!$A$27:$AG$123,G$137,FALSE)</f>
        <v>0</v>
      </c>
      <c r="H153" s="10"/>
      <c r="I153"/>
      <c r="J153"/>
      <c r="K153"/>
    </row>
    <row r="154" spans="1:11" ht="15">
      <c r="A154" s="17" t="s">
        <v>155</v>
      </c>
      <c r="B154" s="18">
        <f>VLOOKUP(Vlookup!$B119,'CDCM Volume Forecasts'!$A$27:$AG$123,B$137,FALSE)</f>
        <v>0</v>
      </c>
      <c r="C154" s="18">
        <f>VLOOKUP(Vlookup!$B119,'CDCM Volume Forecasts'!$A$27:$AG$123,C$137,FALSE)</f>
        <v>0</v>
      </c>
      <c r="D154" s="18">
        <f>VLOOKUP(Vlookup!$B119,'CDCM Volume Forecasts'!$A$27:$AG$123,D$137,FALSE)</f>
        <v>0</v>
      </c>
      <c r="E154" s="18">
        <f>VLOOKUP(Vlookup!$B119,'CDCM Volume Forecasts'!$A$27:$AG$123,E$137,FALSE)</f>
        <v>0</v>
      </c>
      <c r="F154" s="18">
        <f>VLOOKUP(Vlookup!$B119,'CDCM Volume Forecasts'!$A$27:$AG$123,F$137,FALSE)</f>
        <v>0</v>
      </c>
      <c r="G154" s="18">
        <f>VLOOKUP(Vlookup!$B119,'CDCM Volume Forecasts'!$A$27:$AG$123,G$137,FALSE)</f>
        <v>0</v>
      </c>
      <c r="H154" s="10"/>
      <c r="I154"/>
      <c r="J154"/>
      <c r="K154"/>
    </row>
    <row r="155" spans="1:11" ht="15">
      <c r="A155" s="11" t="s">
        <v>94</v>
      </c>
      <c r="B155" s="4">
        <f>VLOOKUP(Vlookup!$B120,'CDCM Volume Forecasts'!$A$27:$AG$123,B$137,FALSE)</f>
        <v>823197.95863007847</v>
      </c>
      <c r="C155" s="8">
        <f>VLOOKUP(Vlookup!$B120,'CDCM Volume Forecasts'!$A$27:$AG$123,C$137,FALSE)</f>
        <v>0</v>
      </c>
      <c r="D155" s="8">
        <f>VLOOKUP(Vlookup!$B120,'CDCM Volume Forecasts'!$A$27:$AG$123,D$137,FALSE)</f>
        <v>0</v>
      </c>
      <c r="E155" s="14">
        <f>VLOOKUP(Vlookup!$B120,'CDCM Volume Forecasts'!$A$27:$AG$123,E$137,FALSE)</f>
        <v>63787</v>
      </c>
      <c r="F155" s="8">
        <f>VLOOKUP(Vlookup!$B120,'CDCM Volume Forecasts'!$A$27:$AG$123,F$137,FALSE)</f>
        <v>0</v>
      </c>
      <c r="G155" s="8">
        <f>VLOOKUP(Vlookup!$B120,'CDCM Volume Forecasts'!$A$27:$AG$123,G$137,FALSE)</f>
        <v>0</v>
      </c>
      <c r="H155" s="10"/>
      <c r="I155"/>
      <c r="J155"/>
      <c r="K155"/>
    </row>
    <row r="156" spans="1:11" ht="15">
      <c r="A156" s="11" t="s">
        <v>156</v>
      </c>
      <c r="B156" s="4">
        <f>VLOOKUP(Vlookup!$B121,'CDCM Volume Forecasts'!$A$27:$AG$123,B$137,FALSE)</f>
        <v>56.743614639178105</v>
      </c>
      <c r="C156" s="8">
        <f>VLOOKUP(Vlookup!$B121,'CDCM Volume Forecasts'!$A$27:$AG$123,C$137,FALSE)</f>
        <v>0</v>
      </c>
      <c r="D156" s="8">
        <f>VLOOKUP(Vlookup!$B121,'CDCM Volume Forecasts'!$A$27:$AG$123,D$137,FALSE)</f>
        <v>0</v>
      </c>
      <c r="E156" s="14">
        <f>VLOOKUP(Vlookup!$B121,'CDCM Volume Forecasts'!$A$27:$AG$123,E$137,FALSE)</f>
        <v>4</v>
      </c>
      <c r="F156" s="8">
        <f>VLOOKUP(Vlookup!$B121,'CDCM Volume Forecasts'!$A$27:$AG$123,F$137,FALSE)</f>
        <v>0</v>
      </c>
      <c r="G156" s="8">
        <f>VLOOKUP(Vlookup!$B121,'CDCM Volume Forecasts'!$A$27:$AG$123,G$137,FALSE)</f>
        <v>0</v>
      </c>
      <c r="H156" s="10"/>
      <c r="I156"/>
      <c r="J156"/>
      <c r="K156"/>
    </row>
    <row r="157" spans="1:11" ht="15">
      <c r="A157" s="11" t="s">
        <v>157</v>
      </c>
      <c r="B157" s="4">
        <f>VLOOKUP(Vlookup!$B122,'CDCM Volume Forecasts'!$A$27:$AG$123,B$137,FALSE)</f>
        <v>2717.0896874333912</v>
      </c>
      <c r="C157" s="8">
        <f>VLOOKUP(Vlookup!$B122,'CDCM Volume Forecasts'!$A$27:$AG$123,C$137,FALSE)</f>
        <v>0</v>
      </c>
      <c r="D157" s="8">
        <f>VLOOKUP(Vlookup!$B122,'CDCM Volume Forecasts'!$A$27:$AG$123,D$137,FALSE)</f>
        <v>0</v>
      </c>
      <c r="E157" s="14">
        <f>VLOOKUP(Vlookup!$B122,'CDCM Volume Forecasts'!$A$27:$AG$123,E$137,FALSE)</f>
        <v>110</v>
      </c>
      <c r="F157" s="8">
        <f>VLOOKUP(Vlookup!$B122,'CDCM Volume Forecasts'!$A$27:$AG$123,F$137,FALSE)</f>
        <v>0</v>
      </c>
      <c r="G157" s="8">
        <f>VLOOKUP(Vlookup!$B122,'CDCM Volume Forecasts'!$A$27:$AG$123,G$137,FALSE)</f>
        <v>0</v>
      </c>
      <c r="H157" s="10"/>
      <c r="I157"/>
      <c r="J157"/>
      <c r="K157"/>
    </row>
    <row r="158" spans="1:11" ht="15">
      <c r="A158" s="17" t="s">
        <v>158</v>
      </c>
      <c r="B158" s="18">
        <f>VLOOKUP(Vlookup!$B123,'CDCM Volume Forecasts'!$A$27:$AG$123,B$137,FALSE)</f>
        <v>0</v>
      </c>
      <c r="C158" s="18">
        <f>VLOOKUP(Vlookup!$B123,'CDCM Volume Forecasts'!$A$27:$AG$123,C$137,FALSE)</f>
        <v>0</v>
      </c>
      <c r="D158" s="18">
        <f>VLOOKUP(Vlookup!$B123,'CDCM Volume Forecasts'!$A$27:$AG$123,D$137,FALSE)</f>
        <v>0</v>
      </c>
      <c r="E158" s="18">
        <f>VLOOKUP(Vlookup!$B123,'CDCM Volume Forecasts'!$A$27:$AG$123,E$137,FALSE)</f>
        <v>0</v>
      </c>
      <c r="F158" s="18">
        <f>VLOOKUP(Vlookup!$B123,'CDCM Volume Forecasts'!$A$27:$AG$123,F$137,FALSE)</f>
        <v>0</v>
      </c>
      <c r="G158" s="18">
        <f>VLOOKUP(Vlookup!$B123,'CDCM Volume Forecasts'!$A$27:$AG$123,G$137,FALSE)</f>
        <v>0</v>
      </c>
      <c r="H158" s="10"/>
      <c r="I158"/>
      <c r="J158"/>
      <c r="K158"/>
    </row>
    <row r="159" spans="1:11" ht="15">
      <c r="A159" s="11" t="s">
        <v>95</v>
      </c>
      <c r="B159" s="4">
        <f>VLOOKUP(Vlookup!$B124,'CDCM Volume Forecasts'!$A$27:$AG$123,B$137,FALSE)</f>
        <v>206801.40932707267</v>
      </c>
      <c r="C159" s="4">
        <f>VLOOKUP(Vlookup!$B124,'CDCM Volume Forecasts'!$A$27:$AG$123,C$137,FALSE)</f>
        <v>92825.537560705707</v>
      </c>
      <c r="D159" s="8">
        <f>VLOOKUP(Vlookup!$B124,'CDCM Volume Forecasts'!$A$27:$AG$123,D$137,FALSE)</f>
        <v>0</v>
      </c>
      <c r="E159" s="14">
        <f>VLOOKUP(Vlookup!$B124,'CDCM Volume Forecasts'!$A$27:$AG$123,E$137,FALSE)</f>
        <v>13441</v>
      </c>
      <c r="F159" s="8">
        <f>VLOOKUP(Vlookup!$B124,'CDCM Volume Forecasts'!$A$27:$AG$123,F$137,FALSE)</f>
        <v>0</v>
      </c>
      <c r="G159" s="8">
        <f>VLOOKUP(Vlookup!$B124,'CDCM Volume Forecasts'!$A$27:$AG$123,G$137,FALSE)</f>
        <v>0</v>
      </c>
      <c r="H159" s="10"/>
      <c r="I159"/>
      <c r="J159"/>
      <c r="K159"/>
    </row>
    <row r="160" spans="1:11" ht="15">
      <c r="A160" s="11" t="s">
        <v>159</v>
      </c>
      <c r="B160" s="4">
        <f>VLOOKUP(Vlookup!$B125,'CDCM Volume Forecasts'!$A$27:$AG$123,B$137,FALSE)</f>
        <v>0</v>
      </c>
      <c r="C160" s="4">
        <f>VLOOKUP(Vlookup!$B125,'CDCM Volume Forecasts'!$A$27:$AG$123,C$137,FALSE)</f>
        <v>0</v>
      </c>
      <c r="D160" s="8">
        <f>VLOOKUP(Vlookup!$B125,'CDCM Volume Forecasts'!$A$27:$AG$123,D$137,FALSE)</f>
        <v>0</v>
      </c>
      <c r="E160" s="14">
        <f>VLOOKUP(Vlookup!$B125,'CDCM Volume Forecasts'!$A$27:$AG$123,E$137,FALSE)</f>
        <v>0</v>
      </c>
      <c r="F160" s="8">
        <f>VLOOKUP(Vlookup!$B125,'CDCM Volume Forecasts'!$A$27:$AG$123,F$137,FALSE)</f>
        <v>0</v>
      </c>
      <c r="G160" s="8">
        <f>VLOOKUP(Vlookup!$B125,'CDCM Volume Forecasts'!$A$27:$AG$123,G$137,FALSE)</f>
        <v>0</v>
      </c>
      <c r="H160" s="10"/>
      <c r="I160"/>
      <c r="J160"/>
      <c r="K160"/>
    </row>
    <row r="161" spans="1:11" ht="15">
      <c r="A161" s="11" t="s">
        <v>160</v>
      </c>
      <c r="B161" s="4">
        <f>VLOOKUP(Vlookup!$B126,'CDCM Volume Forecasts'!$A$27:$AG$123,B$137,FALSE)</f>
        <v>845.42130757211385</v>
      </c>
      <c r="C161" s="4">
        <f>VLOOKUP(Vlookup!$B126,'CDCM Volume Forecasts'!$A$27:$AG$123,C$137,FALSE)</f>
        <v>110.3044954465786</v>
      </c>
      <c r="D161" s="8">
        <f>VLOOKUP(Vlookup!$B126,'CDCM Volume Forecasts'!$A$27:$AG$123,D$137,FALSE)</f>
        <v>0</v>
      </c>
      <c r="E161" s="14">
        <f>VLOOKUP(Vlookup!$B126,'CDCM Volume Forecasts'!$A$27:$AG$123,E$137,FALSE)</f>
        <v>9</v>
      </c>
      <c r="F161" s="8">
        <f>VLOOKUP(Vlookup!$B126,'CDCM Volume Forecasts'!$A$27:$AG$123,F$137,FALSE)</f>
        <v>0</v>
      </c>
      <c r="G161" s="8">
        <f>VLOOKUP(Vlookup!$B126,'CDCM Volume Forecasts'!$A$27:$AG$123,G$137,FALSE)</f>
        <v>0</v>
      </c>
      <c r="H161" s="10"/>
      <c r="I161"/>
      <c r="J161"/>
      <c r="K161"/>
    </row>
    <row r="162" spans="1:11" ht="15">
      <c r="A162" s="17" t="s">
        <v>161</v>
      </c>
      <c r="B162" s="18">
        <f>VLOOKUP(Vlookup!$B127,'CDCM Volume Forecasts'!$A$27:$AG$123,B$137,FALSE)</f>
        <v>0</v>
      </c>
      <c r="C162" s="18">
        <f>VLOOKUP(Vlookup!$B127,'CDCM Volume Forecasts'!$A$27:$AG$123,C$137,FALSE)</f>
        <v>0</v>
      </c>
      <c r="D162" s="18">
        <f>VLOOKUP(Vlookup!$B127,'CDCM Volume Forecasts'!$A$27:$AG$123,D$137,FALSE)</f>
        <v>0</v>
      </c>
      <c r="E162" s="18">
        <f>VLOOKUP(Vlookup!$B127,'CDCM Volume Forecasts'!$A$27:$AG$123,E$137,FALSE)</f>
        <v>0</v>
      </c>
      <c r="F162" s="18">
        <f>VLOOKUP(Vlookup!$B127,'CDCM Volume Forecasts'!$A$27:$AG$123,F$137,FALSE)</f>
        <v>0</v>
      </c>
      <c r="G162" s="18">
        <f>VLOOKUP(Vlookup!$B127,'CDCM Volume Forecasts'!$A$27:$AG$123,G$137,FALSE)</f>
        <v>0</v>
      </c>
      <c r="H162" s="10"/>
      <c r="I162"/>
      <c r="J162"/>
      <c r="K162"/>
    </row>
    <row r="163" spans="1:11" ht="15">
      <c r="A163" s="11" t="s">
        <v>130</v>
      </c>
      <c r="B163" s="4">
        <f>VLOOKUP(Vlookup!$B128,'CDCM Volume Forecasts'!$A$27:$AG$123,B$137,FALSE)</f>
        <v>2262.2093594051807</v>
      </c>
      <c r="C163" s="8">
        <f>VLOOKUP(Vlookup!$B128,'CDCM Volume Forecasts'!$A$27:$AG$123,C$137,FALSE)</f>
        <v>0</v>
      </c>
      <c r="D163" s="8">
        <f>VLOOKUP(Vlookup!$B128,'CDCM Volume Forecasts'!$A$27:$AG$123,D$137,FALSE)</f>
        <v>0</v>
      </c>
      <c r="E163" s="14">
        <f>VLOOKUP(Vlookup!$B128,'CDCM Volume Forecasts'!$A$27:$AG$123,E$137,FALSE)</f>
        <v>0</v>
      </c>
      <c r="F163" s="8">
        <f>VLOOKUP(Vlookup!$B128,'CDCM Volume Forecasts'!$A$27:$AG$123,F$137,FALSE)</f>
        <v>0</v>
      </c>
      <c r="G163" s="8">
        <f>VLOOKUP(Vlookup!$B128,'CDCM Volume Forecasts'!$A$27:$AG$123,G$137,FALSE)</f>
        <v>0</v>
      </c>
      <c r="H163" s="10"/>
      <c r="I163"/>
      <c r="J163"/>
      <c r="K163"/>
    </row>
    <row r="164" spans="1:11" ht="30">
      <c r="A164" s="11" t="s">
        <v>162</v>
      </c>
      <c r="B164" s="4">
        <f>VLOOKUP(Vlookup!$B129,'CDCM Volume Forecasts'!$A$27:$AG$123,B$137,FALSE)</f>
        <v>0</v>
      </c>
      <c r="C164" s="8">
        <f>VLOOKUP(Vlookup!$B129,'CDCM Volume Forecasts'!$A$27:$AG$123,C$137,FALSE)</f>
        <v>0</v>
      </c>
      <c r="D164" s="8">
        <f>VLOOKUP(Vlookup!$B129,'CDCM Volume Forecasts'!$A$27:$AG$123,D$137,FALSE)</f>
        <v>0</v>
      </c>
      <c r="E164" s="14">
        <f>VLOOKUP(Vlookup!$B129,'CDCM Volume Forecasts'!$A$27:$AG$123,E$137,FALSE)</f>
        <v>0</v>
      </c>
      <c r="F164" s="8">
        <f>VLOOKUP(Vlookup!$B129,'CDCM Volume Forecasts'!$A$27:$AG$123,F$137,FALSE)</f>
        <v>0</v>
      </c>
      <c r="G164" s="8">
        <f>VLOOKUP(Vlookup!$B129,'CDCM Volume Forecasts'!$A$27:$AG$123,G$137,FALSE)</f>
        <v>0</v>
      </c>
      <c r="H164" s="10"/>
      <c r="I164"/>
      <c r="J164"/>
      <c r="K164"/>
    </row>
    <row r="165" spans="1:11" ht="30">
      <c r="A165" s="11" t="s">
        <v>163</v>
      </c>
      <c r="B165" s="4">
        <f>VLOOKUP(Vlookup!$B130,'CDCM Volume Forecasts'!$A$27:$AG$123,B$137,FALSE)</f>
        <v>0</v>
      </c>
      <c r="C165" s="8">
        <f>VLOOKUP(Vlookup!$B130,'CDCM Volume Forecasts'!$A$27:$AG$123,C$137,FALSE)</f>
        <v>0</v>
      </c>
      <c r="D165" s="8">
        <f>VLOOKUP(Vlookup!$B130,'CDCM Volume Forecasts'!$A$27:$AG$123,D$137,FALSE)</f>
        <v>0</v>
      </c>
      <c r="E165" s="14">
        <f>VLOOKUP(Vlookup!$B130,'CDCM Volume Forecasts'!$A$27:$AG$123,E$137,FALSE)</f>
        <v>0</v>
      </c>
      <c r="F165" s="8">
        <f>VLOOKUP(Vlookup!$B130,'CDCM Volume Forecasts'!$A$27:$AG$123,F$137,FALSE)</f>
        <v>0</v>
      </c>
      <c r="G165" s="8">
        <f>VLOOKUP(Vlookup!$B130,'CDCM Volume Forecasts'!$A$27:$AG$123,G$137,FALSE)</f>
        <v>0</v>
      </c>
      <c r="H165" s="10"/>
      <c r="I165"/>
      <c r="J165"/>
      <c r="K165"/>
    </row>
    <row r="166" spans="1:11" ht="15">
      <c r="A166" s="17" t="s">
        <v>164</v>
      </c>
      <c r="B166" s="18">
        <f>VLOOKUP(Vlookup!$B131,'CDCM Volume Forecasts'!$A$27:$AG$123,B$137,FALSE)</f>
        <v>0</v>
      </c>
      <c r="C166" s="18">
        <f>VLOOKUP(Vlookup!$B131,'CDCM Volume Forecasts'!$A$27:$AG$123,C$137,FALSE)</f>
        <v>0</v>
      </c>
      <c r="D166" s="18">
        <f>VLOOKUP(Vlookup!$B131,'CDCM Volume Forecasts'!$A$27:$AG$123,D$137,FALSE)</f>
        <v>0</v>
      </c>
      <c r="E166" s="18">
        <f>VLOOKUP(Vlookup!$B131,'CDCM Volume Forecasts'!$A$27:$AG$123,E$137,FALSE)</f>
        <v>0</v>
      </c>
      <c r="F166" s="18">
        <f>VLOOKUP(Vlookup!$B131,'CDCM Volume Forecasts'!$A$27:$AG$123,F$137,FALSE)</f>
        <v>0</v>
      </c>
      <c r="G166" s="18">
        <f>VLOOKUP(Vlookup!$B131,'CDCM Volume Forecasts'!$A$27:$AG$123,G$137,FALSE)</f>
        <v>0</v>
      </c>
      <c r="H166" s="10"/>
      <c r="I166"/>
      <c r="J166"/>
      <c r="K166"/>
    </row>
    <row r="167" spans="1:11" ht="15">
      <c r="A167" s="11" t="s">
        <v>96</v>
      </c>
      <c r="B167" s="4">
        <f>VLOOKUP(Vlookup!$B132,'CDCM Volume Forecasts'!$A$27:$AG$123,B$137,FALSE)</f>
        <v>379857.67107737559</v>
      </c>
      <c r="C167" s="4">
        <f>VLOOKUP(Vlookup!$B132,'CDCM Volume Forecasts'!$A$27:$AG$123,C$137,FALSE)</f>
        <v>99896.639824048034</v>
      </c>
      <c r="D167" s="8">
        <f>VLOOKUP(Vlookup!$B132,'CDCM Volume Forecasts'!$A$27:$AG$123,D$137,FALSE)</f>
        <v>0</v>
      </c>
      <c r="E167" s="14">
        <f>VLOOKUP(Vlookup!$B132,'CDCM Volume Forecasts'!$A$27:$AG$123,E$137,FALSE)</f>
        <v>4728</v>
      </c>
      <c r="F167" s="8">
        <f>VLOOKUP(Vlookup!$B132,'CDCM Volume Forecasts'!$A$27:$AG$123,F$137,FALSE)</f>
        <v>0</v>
      </c>
      <c r="G167" s="8">
        <f>VLOOKUP(Vlookup!$B132,'CDCM Volume Forecasts'!$A$27:$AG$123,G$137,FALSE)</f>
        <v>0</v>
      </c>
      <c r="H167" s="10"/>
      <c r="I167"/>
      <c r="J167"/>
      <c r="K167"/>
    </row>
    <row r="168" spans="1:11" ht="15">
      <c r="A168" s="11" t="s">
        <v>165</v>
      </c>
      <c r="B168" s="4">
        <f>VLOOKUP(Vlookup!$B133,'CDCM Volume Forecasts'!$A$27:$AG$123,B$137,FALSE)</f>
        <v>0</v>
      </c>
      <c r="C168" s="4">
        <f>VLOOKUP(Vlookup!$B133,'CDCM Volume Forecasts'!$A$27:$AG$123,C$137,FALSE)</f>
        <v>0</v>
      </c>
      <c r="D168" s="8">
        <f>VLOOKUP(Vlookup!$B133,'CDCM Volume Forecasts'!$A$27:$AG$123,D$137,FALSE)</f>
        <v>0</v>
      </c>
      <c r="E168" s="14">
        <f>VLOOKUP(Vlookup!$B133,'CDCM Volume Forecasts'!$A$27:$AG$123,E$137,FALSE)</f>
        <v>0</v>
      </c>
      <c r="F168" s="8">
        <f>VLOOKUP(Vlookup!$B133,'CDCM Volume Forecasts'!$A$27:$AG$123,F$137,FALSE)</f>
        <v>0</v>
      </c>
      <c r="G168" s="8">
        <f>VLOOKUP(Vlookup!$B133,'CDCM Volume Forecasts'!$A$27:$AG$123,G$137,FALSE)</f>
        <v>0</v>
      </c>
      <c r="H168" s="10"/>
      <c r="I168"/>
      <c r="J168"/>
      <c r="K168"/>
    </row>
    <row r="169" spans="1:11" ht="15">
      <c r="A169" s="11" t="s">
        <v>166</v>
      </c>
      <c r="B169" s="4">
        <f>VLOOKUP(Vlookup!$B134,'CDCM Volume Forecasts'!$A$27:$AG$123,B$137,FALSE)</f>
        <v>1094.445243350247</v>
      </c>
      <c r="C169" s="4">
        <f>VLOOKUP(Vlookup!$B134,'CDCM Volume Forecasts'!$A$27:$AG$123,C$137,FALSE)</f>
        <v>144.85382852920503</v>
      </c>
      <c r="D169" s="8">
        <f>VLOOKUP(Vlookup!$B134,'CDCM Volume Forecasts'!$A$27:$AG$123,D$137,FALSE)</f>
        <v>0</v>
      </c>
      <c r="E169" s="14">
        <f>VLOOKUP(Vlookup!$B134,'CDCM Volume Forecasts'!$A$27:$AG$123,E$137,FALSE)</f>
        <v>10</v>
      </c>
      <c r="F169" s="8">
        <f>VLOOKUP(Vlookup!$B134,'CDCM Volume Forecasts'!$A$27:$AG$123,F$137,FALSE)</f>
        <v>0</v>
      </c>
      <c r="G169" s="8">
        <f>VLOOKUP(Vlookup!$B134,'CDCM Volume Forecasts'!$A$27:$AG$123,G$137,FALSE)</f>
        <v>0</v>
      </c>
      <c r="H169" s="10"/>
      <c r="I169"/>
      <c r="J169"/>
      <c r="K169"/>
    </row>
    <row r="170" spans="1:11" ht="15">
      <c r="A170" s="17" t="s">
        <v>167</v>
      </c>
      <c r="B170" s="18">
        <f>VLOOKUP(Vlookup!$B135,'CDCM Volume Forecasts'!$A$27:$AG$123,B$137,FALSE)</f>
        <v>0</v>
      </c>
      <c r="C170" s="18">
        <f>VLOOKUP(Vlookup!$B135,'CDCM Volume Forecasts'!$A$27:$AG$123,C$137,FALSE)</f>
        <v>0</v>
      </c>
      <c r="D170" s="18">
        <f>VLOOKUP(Vlookup!$B135,'CDCM Volume Forecasts'!$A$27:$AG$123,D$137,FALSE)</f>
        <v>0</v>
      </c>
      <c r="E170" s="18">
        <f>VLOOKUP(Vlookup!$B135,'CDCM Volume Forecasts'!$A$27:$AG$123,E$137,FALSE)</f>
        <v>0</v>
      </c>
      <c r="F170" s="18">
        <f>VLOOKUP(Vlookup!$B135,'CDCM Volume Forecasts'!$A$27:$AG$123,F$137,FALSE)</f>
        <v>0</v>
      </c>
      <c r="G170" s="18">
        <f>VLOOKUP(Vlookup!$B135,'CDCM Volume Forecasts'!$A$27:$AG$123,G$137,FALSE)</f>
        <v>0</v>
      </c>
      <c r="H170" s="10"/>
      <c r="I170"/>
      <c r="J170"/>
      <c r="K170"/>
    </row>
    <row r="171" spans="1:11" ht="15">
      <c r="A171" s="11" t="s">
        <v>97</v>
      </c>
      <c r="B171" s="4">
        <f>VLOOKUP(Vlookup!$B136,'CDCM Volume Forecasts'!$A$27:$AG$123,B$137,FALSE)</f>
        <v>517.04045501631606</v>
      </c>
      <c r="C171" s="4">
        <f>VLOOKUP(Vlookup!$B136,'CDCM Volume Forecasts'!$A$27:$AG$123,C$137,FALSE)</f>
        <v>136.89783135294002</v>
      </c>
      <c r="D171" s="8">
        <f>VLOOKUP(Vlookup!$B136,'CDCM Volume Forecasts'!$A$27:$AG$123,D$137,FALSE)</f>
        <v>0</v>
      </c>
      <c r="E171" s="14">
        <f>VLOOKUP(Vlookup!$B136,'CDCM Volume Forecasts'!$A$27:$AG$123,E$137,FALSE)</f>
        <v>4</v>
      </c>
      <c r="F171" s="8">
        <f>VLOOKUP(Vlookup!$B136,'CDCM Volume Forecasts'!$A$27:$AG$123,F$137,FALSE)</f>
        <v>0</v>
      </c>
      <c r="G171" s="8">
        <f>VLOOKUP(Vlookup!$B136,'CDCM Volume Forecasts'!$A$27:$AG$123,G$137,FALSE)</f>
        <v>0</v>
      </c>
      <c r="H171" s="10"/>
      <c r="I171"/>
      <c r="J171"/>
      <c r="K171"/>
    </row>
    <row r="172" spans="1:11" ht="15">
      <c r="A172" s="17" t="s">
        <v>168</v>
      </c>
      <c r="B172" s="18">
        <f>VLOOKUP(Vlookup!$B137,'CDCM Volume Forecasts'!$A$27:$AG$123,B$137,FALSE)</f>
        <v>0</v>
      </c>
      <c r="C172" s="18">
        <f>VLOOKUP(Vlookup!$B137,'CDCM Volume Forecasts'!$A$27:$AG$123,C$137,FALSE)</f>
        <v>0</v>
      </c>
      <c r="D172" s="18">
        <f>VLOOKUP(Vlookup!$B137,'CDCM Volume Forecasts'!$A$27:$AG$123,D$137,FALSE)</f>
        <v>0</v>
      </c>
      <c r="E172" s="18">
        <f>VLOOKUP(Vlookup!$B137,'CDCM Volume Forecasts'!$A$27:$AG$123,E$137,FALSE)</f>
        <v>0</v>
      </c>
      <c r="F172" s="18">
        <f>VLOOKUP(Vlookup!$B137,'CDCM Volume Forecasts'!$A$27:$AG$123,F$137,FALSE)</f>
        <v>0</v>
      </c>
      <c r="G172" s="18">
        <f>VLOOKUP(Vlookup!$B137,'CDCM Volume Forecasts'!$A$27:$AG$123,G$137,FALSE)</f>
        <v>0</v>
      </c>
      <c r="H172" s="10"/>
      <c r="I172"/>
      <c r="J172"/>
      <c r="K172"/>
    </row>
    <row r="173" spans="1:11" ht="15">
      <c r="A173" s="11" t="s">
        <v>110</v>
      </c>
      <c r="B173" s="4">
        <f>VLOOKUP(Vlookup!$B138,'CDCM Volume Forecasts'!$A$27:$AG$123,B$137,FALSE)</f>
        <v>753.60754258070392</v>
      </c>
      <c r="C173" s="4">
        <f>VLOOKUP(Vlookup!$B138,'CDCM Volume Forecasts'!$A$27:$AG$123,C$137,FALSE)</f>
        <v>161.59553674706402</v>
      </c>
      <c r="D173" s="8">
        <f>VLOOKUP(Vlookup!$B138,'CDCM Volume Forecasts'!$A$27:$AG$123,D$137,FALSE)</f>
        <v>0</v>
      </c>
      <c r="E173" s="14">
        <f>VLOOKUP(Vlookup!$B138,'CDCM Volume Forecasts'!$A$27:$AG$123,E$137,FALSE)</f>
        <v>13</v>
      </c>
      <c r="F173" s="8">
        <f>VLOOKUP(Vlookup!$B138,'CDCM Volume Forecasts'!$A$27:$AG$123,F$137,FALSE)</f>
        <v>0</v>
      </c>
      <c r="G173" s="8">
        <f>VLOOKUP(Vlookup!$B138,'CDCM Volume Forecasts'!$A$27:$AG$123,G$137,FALSE)</f>
        <v>0</v>
      </c>
      <c r="H173" s="10"/>
      <c r="I173"/>
      <c r="J173"/>
      <c r="K173"/>
    </row>
    <row r="174" spans="1:11" ht="15">
      <c r="A174" s="17" t="s">
        <v>1650</v>
      </c>
      <c r="B174" s="18">
        <f>VLOOKUP(Vlookup!$B139,'CDCM Volume Forecasts'!$A$27:$AG$123,B$137,FALSE)</f>
        <v>0</v>
      </c>
      <c r="C174" s="18">
        <f>VLOOKUP(Vlookup!$B139,'CDCM Volume Forecasts'!$A$27:$AG$123,C$137,FALSE)</f>
        <v>0</v>
      </c>
      <c r="D174" s="18">
        <f>VLOOKUP(Vlookup!$B139,'CDCM Volume Forecasts'!$A$27:$AG$123,D$137,FALSE)</f>
        <v>0</v>
      </c>
      <c r="E174" s="18">
        <f>VLOOKUP(Vlookup!$B139,'CDCM Volume Forecasts'!$A$27:$AG$123,E$137,FALSE)</f>
        <v>0</v>
      </c>
      <c r="F174" s="18">
        <f>VLOOKUP(Vlookup!$B139,'CDCM Volume Forecasts'!$A$27:$AG$123,F$137,FALSE)</f>
        <v>0</v>
      </c>
      <c r="G174" s="18">
        <f>VLOOKUP(Vlookup!$B139,'CDCM Volume Forecasts'!$A$27:$AG$123,G$137,FALSE)</f>
        <v>0</v>
      </c>
      <c r="H174" s="10"/>
      <c r="I174"/>
      <c r="J174"/>
      <c r="K174"/>
    </row>
    <row r="175" spans="1:11" ht="15">
      <c r="A175" s="11" t="s">
        <v>1647</v>
      </c>
      <c r="B175" s="4">
        <f>VLOOKUP(Vlookup!$B140,'CDCM Volume Forecasts'!$A$27:$AG$123,B$137,FALSE)</f>
        <v>0</v>
      </c>
      <c r="C175" s="4">
        <f>VLOOKUP(Vlookup!$B140,'CDCM Volume Forecasts'!$A$27:$AG$123,C$137,FALSE)</f>
        <v>0</v>
      </c>
      <c r="D175" s="4">
        <f>VLOOKUP(Vlookup!$B140,'CDCM Volume Forecasts'!$A$27:$AG$123,D$137,FALSE)</f>
        <v>0</v>
      </c>
      <c r="E175" s="14">
        <f>VLOOKUP(Vlookup!$B140,'CDCM Volume Forecasts'!$A$27:$AG$123,E$137,FALSE)</f>
        <v>0</v>
      </c>
      <c r="F175" s="8">
        <f>VLOOKUP(Vlookup!$B140,'CDCM Volume Forecasts'!$A$27:$AG$123,F$137,FALSE)</f>
        <v>0</v>
      </c>
      <c r="G175" s="8">
        <f>VLOOKUP(Vlookup!$B140,'CDCM Volume Forecasts'!$A$27:$AG$123,G$137,FALSE)</f>
        <v>0</v>
      </c>
      <c r="H175" s="10"/>
      <c r="I175"/>
      <c r="J175"/>
      <c r="K175"/>
    </row>
    <row r="176" spans="1:11" ht="15">
      <c r="A176" s="11" t="s">
        <v>1644</v>
      </c>
      <c r="B176" s="4">
        <f>VLOOKUP(Vlookup!$B141,'CDCM Volume Forecasts'!$A$27:$AG$123,B$137,FALSE)</f>
        <v>0</v>
      </c>
      <c r="C176" s="4">
        <f>VLOOKUP(Vlookup!$B141,'CDCM Volume Forecasts'!$A$27:$AG$123,C$137,FALSE)</f>
        <v>0</v>
      </c>
      <c r="D176" s="4">
        <f>VLOOKUP(Vlookup!$B141,'CDCM Volume Forecasts'!$A$27:$AG$123,D$137,FALSE)</f>
        <v>0</v>
      </c>
      <c r="E176" s="14">
        <f>VLOOKUP(Vlookup!$B141,'CDCM Volume Forecasts'!$A$27:$AG$123,E$137,FALSE)</f>
        <v>0</v>
      </c>
      <c r="F176" s="8">
        <f>VLOOKUP(Vlookup!$B141,'CDCM Volume Forecasts'!$A$27:$AG$123,F$137,FALSE)</f>
        <v>0</v>
      </c>
      <c r="G176" s="8">
        <f>VLOOKUP(Vlookup!$B141,'CDCM Volume Forecasts'!$A$27:$AG$123,G$137,FALSE)</f>
        <v>0</v>
      </c>
      <c r="H176" s="10"/>
      <c r="I176"/>
      <c r="J176"/>
      <c r="K176"/>
    </row>
    <row r="177" spans="1:11" ht="15">
      <c r="A177" s="11" t="s">
        <v>1641</v>
      </c>
      <c r="B177" s="4">
        <f>VLOOKUP(Vlookup!$B142,'CDCM Volume Forecasts'!$A$27:$AG$123,B$137,FALSE)</f>
        <v>0</v>
      </c>
      <c r="C177" s="4">
        <f>VLOOKUP(Vlookup!$B142,'CDCM Volume Forecasts'!$A$27:$AG$123,C$137,FALSE)</f>
        <v>0</v>
      </c>
      <c r="D177" s="4">
        <f>VLOOKUP(Vlookup!$B142,'CDCM Volume Forecasts'!$A$27:$AG$123,D$137,FALSE)</f>
        <v>0</v>
      </c>
      <c r="E177" s="14">
        <f>VLOOKUP(Vlookup!$B142,'CDCM Volume Forecasts'!$A$27:$AG$123,E$137,FALSE)</f>
        <v>0</v>
      </c>
      <c r="F177" s="8">
        <f>VLOOKUP(Vlookup!$B142,'CDCM Volume Forecasts'!$A$27:$AG$123,F$137,FALSE)</f>
        <v>0</v>
      </c>
      <c r="G177" s="8">
        <f>VLOOKUP(Vlookup!$B142,'CDCM Volume Forecasts'!$A$27:$AG$123,G$137,FALSE)</f>
        <v>0</v>
      </c>
      <c r="H177" s="10"/>
      <c r="I177"/>
      <c r="J177"/>
      <c r="K177"/>
    </row>
    <row r="178" spans="1:11" ht="15">
      <c r="A178" s="17" t="s">
        <v>1649</v>
      </c>
      <c r="B178" s="18">
        <f>VLOOKUP(Vlookup!$B143,'CDCM Volume Forecasts'!$A$27:$AG$123,B$137,FALSE)</f>
        <v>0</v>
      </c>
      <c r="C178" s="18">
        <f>VLOOKUP(Vlookup!$B143,'CDCM Volume Forecasts'!$A$27:$AG$123,C$137,FALSE)</f>
        <v>0</v>
      </c>
      <c r="D178" s="18">
        <f>VLOOKUP(Vlookup!$B143,'CDCM Volume Forecasts'!$A$27:$AG$123,D$137,FALSE)</f>
        <v>0</v>
      </c>
      <c r="E178" s="18">
        <f>VLOOKUP(Vlookup!$B143,'CDCM Volume Forecasts'!$A$27:$AG$123,E$137,FALSE)</f>
        <v>0</v>
      </c>
      <c r="F178" s="18">
        <f>VLOOKUP(Vlookup!$B143,'CDCM Volume Forecasts'!$A$27:$AG$123,F$137,FALSE)</f>
        <v>0</v>
      </c>
      <c r="G178" s="18">
        <f>VLOOKUP(Vlookup!$B143,'CDCM Volume Forecasts'!$A$27:$AG$123,G$137,FALSE)</f>
        <v>0</v>
      </c>
      <c r="H178" s="10"/>
      <c r="I178"/>
      <c r="J178"/>
      <c r="K178"/>
    </row>
    <row r="179" spans="1:11" ht="15">
      <c r="A179" s="11" t="s">
        <v>1646</v>
      </c>
      <c r="B179" s="4">
        <f>VLOOKUP(Vlookup!$B144,'CDCM Volume Forecasts'!$A$27:$AG$123,B$137,FALSE)</f>
        <v>0</v>
      </c>
      <c r="C179" s="4">
        <f>VLOOKUP(Vlookup!$B144,'CDCM Volume Forecasts'!$A$27:$AG$123,C$137,FALSE)</f>
        <v>0</v>
      </c>
      <c r="D179" s="4">
        <f>VLOOKUP(Vlookup!$B144,'CDCM Volume Forecasts'!$A$27:$AG$123,D$137,FALSE)</f>
        <v>0</v>
      </c>
      <c r="E179" s="14">
        <f>VLOOKUP(Vlookup!$B144,'CDCM Volume Forecasts'!$A$27:$AG$123,E$137,FALSE)</f>
        <v>0</v>
      </c>
      <c r="F179" s="8">
        <f>VLOOKUP(Vlookup!$B144,'CDCM Volume Forecasts'!$A$27:$AG$123,F$137,FALSE)</f>
        <v>0</v>
      </c>
      <c r="G179" s="8">
        <f>VLOOKUP(Vlookup!$B144,'CDCM Volume Forecasts'!$A$27:$AG$123,G$137,FALSE)</f>
        <v>0</v>
      </c>
      <c r="H179" s="10"/>
      <c r="I179"/>
      <c r="J179"/>
      <c r="K179"/>
    </row>
    <row r="180" spans="1:11" ht="15">
      <c r="A180" s="11" t="s">
        <v>1643</v>
      </c>
      <c r="B180" s="4">
        <f>VLOOKUP(Vlookup!$B145,'CDCM Volume Forecasts'!$A$27:$AG$123,B$137,FALSE)</f>
        <v>0</v>
      </c>
      <c r="C180" s="4">
        <f>VLOOKUP(Vlookup!$B145,'CDCM Volume Forecasts'!$A$27:$AG$123,C$137,FALSE)</f>
        <v>0</v>
      </c>
      <c r="D180" s="4">
        <f>VLOOKUP(Vlookup!$B145,'CDCM Volume Forecasts'!$A$27:$AG$123,D$137,FALSE)</f>
        <v>0</v>
      </c>
      <c r="E180" s="14">
        <f>VLOOKUP(Vlookup!$B145,'CDCM Volume Forecasts'!$A$27:$AG$123,E$137,FALSE)</f>
        <v>0</v>
      </c>
      <c r="F180" s="8">
        <f>VLOOKUP(Vlookup!$B145,'CDCM Volume Forecasts'!$A$27:$AG$123,F$137,FALSE)</f>
        <v>0</v>
      </c>
      <c r="G180" s="8">
        <f>VLOOKUP(Vlookup!$B145,'CDCM Volume Forecasts'!$A$27:$AG$123,G$137,FALSE)</f>
        <v>0</v>
      </c>
      <c r="H180" s="10"/>
      <c r="I180"/>
      <c r="J180"/>
      <c r="K180"/>
    </row>
    <row r="181" spans="1:11" ht="15">
      <c r="A181" s="11" t="s">
        <v>1640</v>
      </c>
      <c r="B181" s="4">
        <f>VLOOKUP(Vlookup!$B146,'CDCM Volume Forecasts'!$A$27:$AG$123,B$137,FALSE)</f>
        <v>0</v>
      </c>
      <c r="C181" s="4">
        <f>VLOOKUP(Vlookup!$B146,'CDCM Volume Forecasts'!$A$27:$AG$123,C$137,FALSE)</f>
        <v>0</v>
      </c>
      <c r="D181" s="4">
        <f>VLOOKUP(Vlookup!$B146,'CDCM Volume Forecasts'!$A$27:$AG$123,D$137,FALSE)</f>
        <v>0</v>
      </c>
      <c r="E181" s="14">
        <f>VLOOKUP(Vlookup!$B146,'CDCM Volume Forecasts'!$A$27:$AG$123,E$137,FALSE)</f>
        <v>0</v>
      </c>
      <c r="F181" s="8">
        <f>VLOOKUP(Vlookup!$B146,'CDCM Volume Forecasts'!$A$27:$AG$123,F$137,FALSE)</f>
        <v>0</v>
      </c>
      <c r="G181" s="8">
        <f>VLOOKUP(Vlookup!$B146,'CDCM Volume Forecasts'!$A$27:$AG$123,G$137,FALSE)</f>
        <v>0</v>
      </c>
      <c r="H181" s="10"/>
      <c r="I181"/>
      <c r="J181"/>
      <c r="K181"/>
    </row>
    <row r="182" spans="1:11" ht="15">
      <c r="A182" s="17" t="s">
        <v>169</v>
      </c>
      <c r="B182" s="18">
        <f>VLOOKUP(Vlookup!$B147,'CDCM Volume Forecasts'!$A$27:$AG$123,B$137,FALSE)</f>
        <v>0</v>
      </c>
      <c r="C182" s="18">
        <f>VLOOKUP(Vlookup!$B147,'CDCM Volume Forecasts'!$A$27:$AG$123,C$137,FALSE)</f>
        <v>0</v>
      </c>
      <c r="D182" s="18">
        <f>VLOOKUP(Vlookup!$B147,'CDCM Volume Forecasts'!$A$27:$AG$123,D$137,FALSE)</f>
        <v>0</v>
      </c>
      <c r="E182" s="18">
        <f>VLOOKUP(Vlookup!$B147,'CDCM Volume Forecasts'!$A$27:$AG$123,E$137,FALSE)</f>
        <v>0</v>
      </c>
      <c r="F182" s="18">
        <f>VLOOKUP(Vlookup!$B147,'CDCM Volume Forecasts'!$A$27:$AG$123,F$137,FALSE)</f>
        <v>0</v>
      </c>
      <c r="G182" s="18">
        <f>VLOOKUP(Vlookup!$B147,'CDCM Volume Forecasts'!$A$27:$AG$123,G$137,FALSE)</f>
        <v>0</v>
      </c>
      <c r="H182" s="10"/>
      <c r="I182"/>
      <c r="J182"/>
      <c r="K182"/>
    </row>
    <row r="183" spans="1:11" ht="15">
      <c r="A183" s="11" t="s">
        <v>98</v>
      </c>
      <c r="B183" s="4">
        <f>VLOOKUP(Vlookup!$B148,'CDCM Volume Forecasts'!$A$27:$AG$123,B$137,FALSE)</f>
        <v>105280.60773635872</v>
      </c>
      <c r="C183" s="4">
        <f>VLOOKUP(Vlookup!$B148,'CDCM Volume Forecasts'!$A$27:$AG$123,C$137,FALSE)</f>
        <v>666906.91242974426</v>
      </c>
      <c r="D183" s="4">
        <f>VLOOKUP(Vlookup!$B148,'CDCM Volume Forecasts'!$A$27:$AG$123,D$137,FALSE)</f>
        <v>493272.90471028525</v>
      </c>
      <c r="E183" s="14">
        <f>VLOOKUP(Vlookup!$B148,'CDCM Volume Forecasts'!$A$27:$AG$123,E$137,FALSE)</f>
        <v>3111</v>
      </c>
      <c r="F183" s="14">
        <f>VLOOKUP(Vlookup!$B148,'CDCM Volume Forecasts'!$A$27:$AG$123,F$137,FALSE)</f>
        <v>578357</v>
      </c>
      <c r="G183" s="4">
        <f>VLOOKUP(Vlookup!$B148,'CDCM Volume Forecasts'!$A$27:$AG$123,G$137,FALSE)</f>
        <v>121162</v>
      </c>
      <c r="H183" s="10"/>
      <c r="I183"/>
      <c r="J183"/>
      <c r="K183"/>
    </row>
    <row r="184" spans="1:11" ht="15">
      <c r="A184" s="11" t="s">
        <v>170</v>
      </c>
      <c r="B184" s="4">
        <f>VLOOKUP(Vlookup!$B149,'CDCM Volume Forecasts'!$A$27:$AG$123,B$137,FALSE)</f>
        <v>0</v>
      </c>
      <c r="C184" s="4">
        <f>VLOOKUP(Vlookup!$B149,'CDCM Volume Forecasts'!$A$27:$AG$123,C$137,FALSE)</f>
        <v>0</v>
      </c>
      <c r="D184" s="4">
        <f>VLOOKUP(Vlookup!$B149,'CDCM Volume Forecasts'!$A$27:$AG$123,D$137,FALSE)</f>
        <v>0</v>
      </c>
      <c r="E184" s="14">
        <f>VLOOKUP(Vlookup!$B149,'CDCM Volume Forecasts'!$A$27:$AG$123,E$137,FALSE)</f>
        <v>0</v>
      </c>
      <c r="F184" s="14">
        <f>VLOOKUP(Vlookup!$B149,'CDCM Volume Forecasts'!$A$27:$AG$123,F$137,FALSE)</f>
        <v>0</v>
      </c>
      <c r="G184" s="4">
        <f>VLOOKUP(Vlookup!$B149,'CDCM Volume Forecasts'!$A$27:$AG$123,G$137,FALSE)</f>
        <v>0</v>
      </c>
      <c r="H184" s="10"/>
      <c r="I184"/>
      <c r="J184"/>
      <c r="K184"/>
    </row>
    <row r="185" spans="1:11" ht="15">
      <c r="A185" s="11" t="s">
        <v>171</v>
      </c>
      <c r="B185" s="4">
        <f>VLOOKUP(Vlookup!$B150,'CDCM Volume Forecasts'!$A$27:$AG$123,B$137,FALSE)</f>
        <v>1624.4972466770896</v>
      </c>
      <c r="C185" s="4">
        <f>VLOOKUP(Vlookup!$B150,'CDCM Volume Forecasts'!$A$27:$AG$123,C$137,FALSE)</f>
        <v>8871.8152011074108</v>
      </c>
      <c r="D185" s="4">
        <f>VLOOKUP(Vlookup!$B150,'CDCM Volume Forecasts'!$A$27:$AG$123,D$137,FALSE)</f>
        <v>6399.4295359516582</v>
      </c>
      <c r="E185" s="14">
        <f>VLOOKUP(Vlookup!$B150,'CDCM Volume Forecasts'!$A$27:$AG$123,E$137,FALSE)</f>
        <v>20</v>
      </c>
      <c r="F185" s="14">
        <f>VLOOKUP(Vlookup!$B150,'CDCM Volume Forecasts'!$A$27:$AG$123,F$137,FALSE)</f>
        <v>6985</v>
      </c>
      <c r="G185" s="4">
        <f>VLOOKUP(Vlookup!$B150,'CDCM Volume Forecasts'!$A$27:$AG$123,G$137,FALSE)</f>
        <v>558</v>
      </c>
      <c r="H185" s="10"/>
      <c r="I185"/>
      <c r="J185"/>
      <c r="K185"/>
    </row>
    <row r="186" spans="1:11" ht="15">
      <c r="A186" s="17" t="s">
        <v>172</v>
      </c>
      <c r="B186" s="18">
        <f>VLOOKUP(Vlookup!$B151,'CDCM Volume Forecasts'!$A$27:$AG$123,B$137,FALSE)</f>
        <v>0</v>
      </c>
      <c r="C186" s="18">
        <f>VLOOKUP(Vlookup!$B151,'CDCM Volume Forecasts'!$A$27:$AG$123,C$137,FALSE)</f>
        <v>0</v>
      </c>
      <c r="D186" s="18">
        <f>VLOOKUP(Vlookup!$B151,'CDCM Volume Forecasts'!$A$27:$AG$123,D$137,FALSE)</f>
        <v>0</v>
      </c>
      <c r="E186" s="18">
        <f>VLOOKUP(Vlookup!$B151,'CDCM Volume Forecasts'!$A$27:$AG$123,E$137,FALSE)</f>
        <v>0</v>
      </c>
      <c r="F186" s="18">
        <f>VLOOKUP(Vlookup!$B151,'CDCM Volume Forecasts'!$A$27:$AG$123,F$137,FALSE)</f>
        <v>0</v>
      </c>
      <c r="G186" s="18">
        <f>VLOOKUP(Vlookup!$B151,'CDCM Volume Forecasts'!$A$27:$AG$123,G$137,FALSE)</f>
        <v>0</v>
      </c>
      <c r="H186" s="10"/>
      <c r="I186"/>
      <c r="J186"/>
      <c r="K186"/>
    </row>
    <row r="187" spans="1:11" ht="15">
      <c r="A187" s="11" t="s">
        <v>99</v>
      </c>
      <c r="B187" s="4">
        <f>VLOOKUP(Vlookup!$B152,'CDCM Volume Forecasts'!$A$27:$AG$123,B$137,FALSE)</f>
        <v>1334.7866543787895</v>
      </c>
      <c r="C187" s="4">
        <f>VLOOKUP(Vlookup!$B152,'CDCM Volume Forecasts'!$A$27:$AG$123,C$137,FALSE)</f>
        <v>7582.7475303968895</v>
      </c>
      <c r="D187" s="4">
        <f>VLOOKUP(Vlookup!$B152,'CDCM Volume Forecasts'!$A$27:$AG$123,D$137,FALSE)</f>
        <v>5677.7124349562873</v>
      </c>
      <c r="E187" s="14">
        <f>VLOOKUP(Vlookup!$B152,'CDCM Volume Forecasts'!$A$27:$AG$123,E$137,FALSE)</f>
        <v>18</v>
      </c>
      <c r="F187" s="14">
        <f>VLOOKUP(Vlookup!$B152,'CDCM Volume Forecasts'!$A$27:$AG$123,F$137,FALSE)</f>
        <v>6238</v>
      </c>
      <c r="G187" s="4">
        <f>VLOOKUP(Vlookup!$B152,'CDCM Volume Forecasts'!$A$27:$AG$123,G$137,FALSE)</f>
        <v>1758</v>
      </c>
      <c r="H187" s="10"/>
      <c r="I187"/>
      <c r="J187"/>
      <c r="K187"/>
    </row>
    <row r="188" spans="1:11" ht="15">
      <c r="A188" s="11" t="s">
        <v>173</v>
      </c>
      <c r="B188" s="4">
        <f>VLOOKUP(Vlookup!$B153,'CDCM Volume Forecasts'!$A$27:$AG$123,B$137,FALSE)</f>
        <v>439.053309912727</v>
      </c>
      <c r="C188" s="4">
        <f>VLOOKUP(Vlookup!$B153,'CDCM Volume Forecasts'!$A$27:$AG$123,C$137,FALSE)</f>
        <v>2397.787892191192</v>
      </c>
      <c r="D188" s="4">
        <f>VLOOKUP(Vlookup!$B153,'CDCM Volume Forecasts'!$A$27:$AG$123,D$137,FALSE)</f>
        <v>1729.5755502572049</v>
      </c>
      <c r="E188" s="14">
        <f>VLOOKUP(Vlookup!$B153,'CDCM Volume Forecasts'!$A$27:$AG$123,E$137,FALSE)</f>
        <v>5</v>
      </c>
      <c r="F188" s="14">
        <f>VLOOKUP(Vlookup!$B153,'CDCM Volume Forecasts'!$A$27:$AG$123,F$137,FALSE)</f>
        <v>1067</v>
      </c>
      <c r="G188" s="4">
        <f>VLOOKUP(Vlookup!$B153,'CDCM Volume Forecasts'!$A$27:$AG$123,G$137,FALSE)</f>
        <v>113</v>
      </c>
      <c r="H188" s="10"/>
      <c r="I188"/>
      <c r="J188"/>
      <c r="K188"/>
    </row>
    <row r="189" spans="1:11" ht="15">
      <c r="A189" s="17" t="s">
        <v>174</v>
      </c>
      <c r="B189" s="18">
        <f>VLOOKUP(Vlookup!$B154,'CDCM Volume Forecasts'!$A$27:$AG$123,B$137,FALSE)</f>
        <v>0</v>
      </c>
      <c r="C189" s="18">
        <f>VLOOKUP(Vlookup!$B154,'CDCM Volume Forecasts'!$A$27:$AG$123,C$137,FALSE)</f>
        <v>0</v>
      </c>
      <c r="D189" s="18">
        <f>VLOOKUP(Vlookup!$B154,'CDCM Volume Forecasts'!$A$27:$AG$123,D$137,FALSE)</f>
        <v>0</v>
      </c>
      <c r="E189" s="18">
        <f>VLOOKUP(Vlookup!$B154,'CDCM Volume Forecasts'!$A$27:$AG$123,E$137,FALSE)</f>
        <v>0</v>
      </c>
      <c r="F189" s="18">
        <f>VLOOKUP(Vlookup!$B154,'CDCM Volume Forecasts'!$A$27:$AG$123,F$137,FALSE)</f>
        <v>0</v>
      </c>
      <c r="G189" s="18">
        <f>VLOOKUP(Vlookup!$B154,'CDCM Volume Forecasts'!$A$27:$AG$123,G$137,FALSE)</f>
        <v>0</v>
      </c>
      <c r="H189" s="10"/>
      <c r="I189"/>
      <c r="J189"/>
      <c r="K189"/>
    </row>
    <row r="190" spans="1:11" ht="15">
      <c r="A190" s="11" t="s">
        <v>111</v>
      </c>
      <c r="B190" s="4">
        <f>VLOOKUP(Vlookup!$B155,'CDCM Volume Forecasts'!$A$27:$AG$123,B$137,FALSE)</f>
        <v>168212.60808699948</v>
      </c>
      <c r="C190" s="4">
        <f>VLOOKUP(Vlookup!$B155,'CDCM Volume Forecasts'!$A$27:$AG$123,C$137,FALSE)</f>
        <v>1015521.4628002136</v>
      </c>
      <c r="D190" s="4">
        <f>VLOOKUP(Vlookup!$B155,'CDCM Volume Forecasts'!$A$27:$AG$123,D$137,FALSE)</f>
        <v>952719.56575802783</v>
      </c>
      <c r="E190" s="14">
        <f>VLOOKUP(Vlookup!$B155,'CDCM Volume Forecasts'!$A$27:$AG$123,E$137,FALSE)</f>
        <v>595</v>
      </c>
      <c r="F190" s="14">
        <f>VLOOKUP(Vlookup!$B155,'CDCM Volume Forecasts'!$A$27:$AG$123,F$137,FALSE)</f>
        <v>696791</v>
      </c>
      <c r="G190" s="4">
        <f>VLOOKUP(Vlookup!$B155,'CDCM Volume Forecasts'!$A$27:$AG$123,G$137,FALSE)</f>
        <v>160841</v>
      </c>
      <c r="H190" s="10"/>
      <c r="I190"/>
      <c r="J190"/>
      <c r="K190"/>
    </row>
    <row r="191" spans="1:11" ht="15">
      <c r="A191" s="11" t="s">
        <v>175</v>
      </c>
      <c r="B191" s="4">
        <f>VLOOKUP(Vlookup!$B156,'CDCM Volume Forecasts'!$A$27:$AG$123,B$137,FALSE)</f>
        <v>687.38919403029763</v>
      </c>
      <c r="C191" s="4">
        <f>VLOOKUP(Vlookup!$B156,'CDCM Volume Forecasts'!$A$27:$AG$123,C$137,FALSE)</f>
        <v>3897.128225748751</v>
      </c>
      <c r="D191" s="4">
        <f>VLOOKUP(Vlookup!$B156,'CDCM Volume Forecasts'!$A$27:$AG$123,D$137,FALSE)</f>
        <v>3071.0997928152483</v>
      </c>
      <c r="E191" s="14">
        <f>VLOOKUP(Vlookup!$B156,'CDCM Volume Forecasts'!$A$27:$AG$123,E$137,FALSE)</f>
        <v>5</v>
      </c>
      <c r="F191" s="14">
        <f>VLOOKUP(Vlookup!$B156,'CDCM Volume Forecasts'!$A$27:$AG$123,F$137,FALSE)</f>
        <v>4903</v>
      </c>
      <c r="G191" s="4">
        <f>VLOOKUP(Vlookup!$B156,'CDCM Volume Forecasts'!$A$27:$AG$123,G$137,FALSE)</f>
        <v>358</v>
      </c>
      <c r="H191" s="10"/>
      <c r="I191"/>
      <c r="J191"/>
      <c r="K191"/>
    </row>
    <row r="192" spans="1:11" ht="15">
      <c r="A192" s="17" t="s">
        <v>176</v>
      </c>
      <c r="B192" s="18">
        <f>VLOOKUP(Vlookup!$B157,'CDCM Volume Forecasts'!$A$27:$AG$123,B$137,FALSE)</f>
        <v>0</v>
      </c>
      <c r="C192" s="18">
        <f>VLOOKUP(Vlookup!$B157,'CDCM Volume Forecasts'!$A$27:$AG$123,C$137,FALSE)</f>
        <v>0</v>
      </c>
      <c r="D192" s="18">
        <f>VLOOKUP(Vlookup!$B157,'CDCM Volume Forecasts'!$A$27:$AG$123,D$137,FALSE)</f>
        <v>0</v>
      </c>
      <c r="E192" s="18">
        <f>VLOOKUP(Vlookup!$B157,'CDCM Volume Forecasts'!$A$27:$AG$123,E$137,FALSE)</f>
        <v>0</v>
      </c>
      <c r="F192" s="18">
        <f>VLOOKUP(Vlookup!$B157,'CDCM Volume Forecasts'!$A$27:$AG$123,F$137,FALSE)</f>
        <v>0</v>
      </c>
      <c r="G192" s="18">
        <f>VLOOKUP(Vlookup!$B157,'CDCM Volume Forecasts'!$A$27:$AG$123,G$137,FALSE)</f>
        <v>0</v>
      </c>
      <c r="H192" s="10"/>
      <c r="I192"/>
      <c r="J192"/>
      <c r="K192"/>
    </row>
    <row r="193" spans="1:11" ht="15">
      <c r="A193" s="11" t="s">
        <v>131</v>
      </c>
      <c r="B193" s="4">
        <f>VLOOKUP(Vlookup!$B158,'CDCM Volume Forecasts'!$A$27:$AG$123,B$137,FALSE)</f>
        <v>7597.2957335261272</v>
      </c>
      <c r="C193" s="8">
        <f>VLOOKUP(Vlookup!$B158,'CDCM Volume Forecasts'!$A$27:$AG$123,C$137,FALSE)</f>
        <v>0</v>
      </c>
      <c r="D193" s="8">
        <f>VLOOKUP(Vlookup!$B158,'CDCM Volume Forecasts'!$A$27:$AG$123,D$137,FALSE)</f>
        <v>0</v>
      </c>
      <c r="E193" s="14">
        <f>VLOOKUP(Vlookup!$B158,'CDCM Volume Forecasts'!$A$27:$AG$123,E$137,FALSE)</f>
        <v>514</v>
      </c>
      <c r="F193" s="8">
        <f>VLOOKUP(Vlookup!$B158,'CDCM Volume Forecasts'!$A$27:$AG$123,F$137,FALSE)</f>
        <v>0</v>
      </c>
      <c r="G193" s="8">
        <f>VLOOKUP(Vlookup!$B158,'CDCM Volume Forecasts'!$A$27:$AG$123,G$137,FALSE)</f>
        <v>0</v>
      </c>
      <c r="H193" s="10"/>
      <c r="I193"/>
      <c r="J193"/>
      <c r="K193"/>
    </row>
    <row r="194" spans="1:11" ht="15">
      <c r="A194" s="11" t="s">
        <v>177</v>
      </c>
      <c r="B194" s="4">
        <f>VLOOKUP(Vlookup!$B159,'CDCM Volume Forecasts'!$A$27:$AG$123,B$137,FALSE)</f>
        <v>38.57379559770618</v>
      </c>
      <c r="C194" s="8">
        <f>VLOOKUP(Vlookup!$B159,'CDCM Volume Forecasts'!$A$27:$AG$123,C$137,FALSE)</f>
        <v>0</v>
      </c>
      <c r="D194" s="8">
        <f>VLOOKUP(Vlookup!$B159,'CDCM Volume Forecasts'!$A$27:$AG$123,D$137,FALSE)</f>
        <v>0</v>
      </c>
      <c r="E194" s="14">
        <f>VLOOKUP(Vlookup!$B159,'CDCM Volume Forecasts'!$A$27:$AG$123,E$137,FALSE)</f>
        <v>0</v>
      </c>
      <c r="F194" s="8">
        <f>VLOOKUP(Vlookup!$B159,'CDCM Volume Forecasts'!$A$27:$AG$123,F$137,FALSE)</f>
        <v>0</v>
      </c>
      <c r="G194" s="8">
        <f>VLOOKUP(Vlookup!$B159,'CDCM Volume Forecasts'!$A$27:$AG$123,G$137,FALSE)</f>
        <v>0</v>
      </c>
      <c r="H194" s="10"/>
      <c r="I194"/>
      <c r="J194"/>
      <c r="K194"/>
    </row>
    <row r="195" spans="1:11" ht="15">
      <c r="A195" s="11" t="s">
        <v>178</v>
      </c>
      <c r="B195" s="4">
        <f>VLOOKUP(Vlookup!$B160,'CDCM Volume Forecasts'!$A$27:$AG$123,B$137,FALSE)</f>
        <v>180.42533538088671</v>
      </c>
      <c r="C195" s="8">
        <f>VLOOKUP(Vlookup!$B160,'CDCM Volume Forecasts'!$A$27:$AG$123,C$137,FALSE)</f>
        <v>0</v>
      </c>
      <c r="D195" s="8">
        <f>VLOOKUP(Vlookup!$B160,'CDCM Volume Forecasts'!$A$27:$AG$123,D$137,FALSE)</f>
        <v>0</v>
      </c>
      <c r="E195" s="14">
        <f>VLOOKUP(Vlookup!$B160,'CDCM Volume Forecasts'!$A$27:$AG$123,E$137,FALSE)</f>
        <v>0</v>
      </c>
      <c r="F195" s="8">
        <f>VLOOKUP(Vlookup!$B160,'CDCM Volume Forecasts'!$A$27:$AG$123,F$137,FALSE)</f>
        <v>0</v>
      </c>
      <c r="G195" s="8">
        <f>VLOOKUP(Vlookup!$B160,'CDCM Volume Forecasts'!$A$27:$AG$123,G$137,FALSE)</f>
        <v>0</v>
      </c>
      <c r="H195" s="10"/>
      <c r="I195"/>
      <c r="J195"/>
      <c r="K195"/>
    </row>
    <row r="196" spans="1:11" ht="15">
      <c r="A196" s="17" t="s">
        <v>179</v>
      </c>
      <c r="B196" s="18">
        <f>VLOOKUP(Vlookup!$B161,'CDCM Volume Forecasts'!$A$27:$AG$123,B$137,FALSE)</f>
        <v>0</v>
      </c>
      <c r="C196" s="18">
        <f>VLOOKUP(Vlookup!$B161,'CDCM Volume Forecasts'!$A$27:$AG$123,C$137,FALSE)</f>
        <v>0</v>
      </c>
      <c r="D196" s="18">
        <f>VLOOKUP(Vlookup!$B161,'CDCM Volume Forecasts'!$A$27:$AG$123,D$137,FALSE)</f>
        <v>0</v>
      </c>
      <c r="E196" s="18">
        <f>VLOOKUP(Vlookup!$B161,'CDCM Volume Forecasts'!$A$27:$AG$123,E$137,FALSE)</f>
        <v>0</v>
      </c>
      <c r="F196" s="18">
        <f>VLOOKUP(Vlookup!$B161,'CDCM Volume Forecasts'!$A$27:$AG$123,F$137,FALSE)</f>
        <v>0</v>
      </c>
      <c r="G196" s="18">
        <f>VLOOKUP(Vlookup!$B161,'CDCM Volume Forecasts'!$A$27:$AG$123,G$137,FALSE)</f>
        <v>0</v>
      </c>
      <c r="H196" s="10"/>
      <c r="I196"/>
      <c r="J196"/>
      <c r="K196"/>
    </row>
    <row r="197" spans="1:11" ht="15">
      <c r="A197" s="11" t="s">
        <v>132</v>
      </c>
      <c r="B197" s="4">
        <f>VLOOKUP(Vlookup!$B162,'CDCM Volume Forecasts'!$A$27:$AG$123,B$137,FALSE)</f>
        <v>5952.5744876907111</v>
      </c>
      <c r="C197" s="8">
        <f>VLOOKUP(Vlookup!$B162,'CDCM Volume Forecasts'!$A$27:$AG$123,C$137,FALSE)</f>
        <v>0</v>
      </c>
      <c r="D197" s="8">
        <f>VLOOKUP(Vlookup!$B162,'CDCM Volume Forecasts'!$A$27:$AG$123,D$137,FALSE)</f>
        <v>0</v>
      </c>
      <c r="E197" s="14">
        <f>VLOOKUP(Vlookup!$B162,'CDCM Volume Forecasts'!$A$27:$AG$123,E$137,FALSE)</f>
        <v>749</v>
      </c>
      <c r="F197" s="8">
        <f>VLOOKUP(Vlookup!$B162,'CDCM Volume Forecasts'!$A$27:$AG$123,F$137,FALSE)</f>
        <v>0</v>
      </c>
      <c r="G197" s="8">
        <f>VLOOKUP(Vlookup!$B162,'CDCM Volume Forecasts'!$A$27:$AG$123,G$137,FALSE)</f>
        <v>0</v>
      </c>
      <c r="H197" s="10"/>
      <c r="I197"/>
      <c r="J197"/>
      <c r="K197"/>
    </row>
    <row r="198" spans="1:11" ht="15">
      <c r="A198" s="11" t="s">
        <v>180</v>
      </c>
      <c r="B198" s="4">
        <f>VLOOKUP(Vlookup!$B163,'CDCM Volume Forecasts'!$A$27:$AG$123,B$137,FALSE)</f>
        <v>5.4179338644077735</v>
      </c>
      <c r="C198" s="8">
        <f>VLOOKUP(Vlookup!$B163,'CDCM Volume Forecasts'!$A$27:$AG$123,C$137,FALSE)</f>
        <v>0</v>
      </c>
      <c r="D198" s="8">
        <f>VLOOKUP(Vlookup!$B163,'CDCM Volume Forecasts'!$A$27:$AG$123,D$137,FALSE)</f>
        <v>0</v>
      </c>
      <c r="E198" s="14">
        <f>VLOOKUP(Vlookup!$B163,'CDCM Volume Forecasts'!$A$27:$AG$123,E$137,FALSE)</f>
        <v>0</v>
      </c>
      <c r="F198" s="8">
        <f>VLOOKUP(Vlookup!$B163,'CDCM Volume Forecasts'!$A$27:$AG$123,F$137,FALSE)</f>
        <v>0</v>
      </c>
      <c r="G198" s="8">
        <f>VLOOKUP(Vlookup!$B163,'CDCM Volume Forecasts'!$A$27:$AG$123,G$137,FALSE)</f>
        <v>0</v>
      </c>
      <c r="H198" s="10"/>
      <c r="I198"/>
      <c r="J198"/>
      <c r="K198"/>
    </row>
    <row r="199" spans="1:11" ht="15">
      <c r="A199" s="11" t="s">
        <v>181</v>
      </c>
      <c r="B199" s="4">
        <f>VLOOKUP(Vlookup!$B164,'CDCM Volume Forecasts'!$A$27:$AG$123,B$137,FALSE)</f>
        <v>258.82704553611961</v>
      </c>
      <c r="C199" s="8">
        <f>VLOOKUP(Vlookup!$B164,'CDCM Volume Forecasts'!$A$27:$AG$123,C$137,FALSE)</f>
        <v>0</v>
      </c>
      <c r="D199" s="8">
        <f>VLOOKUP(Vlookup!$B164,'CDCM Volume Forecasts'!$A$27:$AG$123,D$137,FALSE)</f>
        <v>0</v>
      </c>
      <c r="E199" s="14">
        <f>VLOOKUP(Vlookup!$B164,'CDCM Volume Forecasts'!$A$27:$AG$123,E$137,FALSE)</f>
        <v>0</v>
      </c>
      <c r="F199" s="8">
        <f>VLOOKUP(Vlookup!$B164,'CDCM Volume Forecasts'!$A$27:$AG$123,F$137,FALSE)</f>
        <v>0</v>
      </c>
      <c r="G199" s="8">
        <f>VLOOKUP(Vlookup!$B164,'CDCM Volume Forecasts'!$A$27:$AG$123,G$137,FALSE)</f>
        <v>0</v>
      </c>
      <c r="H199" s="10"/>
      <c r="I199"/>
      <c r="J199"/>
      <c r="K199"/>
    </row>
    <row r="200" spans="1:11" ht="15">
      <c r="A200" s="17" t="s">
        <v>182</v>
      </c>
      <c r="B200" s="18">
        <f>VLOOKUP(Vlookup!$B165,'CDCM Volume Forecasts'!$A$27:$AG$123,B$137,FALSE)</f>
        <v>0</v>
      </c>
      <c r="C200" s="18">
        <f>VLOOKUP(Vlookup!$B165,'CDCM Volume Forecasts'!$A$27:$AG$123,C$137,FALSE)</f>
        <v>0</v>
      </c>
      <c r="D200" s="18">
        <f>VLOOKUP(Vlookup!$B165,'CDCM Volume Forecasts'!$A$27:$AG$123,D$137,FALSE)</f>
        <v>0</v>
      </c>
      <c r="E200" s="18">
        <f>VLOOKUP(Vlookup!$B165,'CDCM Volume Forecasts'!$A$27:$AG$123,E$137,FALSE)</f>
        <v>0</v>
      </c>
      <c r="F200" s="18">
        <f>VLOOKUP(Vlookup!$B165,'CDCM Volume Forecasts'!$A$27:$AG$123,F$137,FALSE)</f>
        <v>0</v>
      </c>
      <c r="G200" s="18">
        <f>VLOOKUP(Vlookup!$B165,'CDCM Volume Forecasts'!$A$27:$AG$123,G$137,FALSE)</f>
        <v>0</v>
      </c>
      <c r="H200" s="10"/>
      <c r="I200"/>
      <c r="J200"/>
      <c r="K200"/>
    </row>
    <row r="201" spans="1:11" ht="15">
      <c r="A201" s="11" t="s">
        <v>133</v>
      </c>
      <c r="B201" s="4">
        <f>VLOOKUP(Vlookup!$B166,'CDCM Volume Forecasts'!$A$27:$AG$123,B$137,FALSE)</f>
        <v>378.27038018128798</v>
      </c>
      <c r="C201" s="8">
        <f>VLOOKUP(Vlookup!$B166,'CDCM Volume Forecasts'!$A$27:$AG$123,C$137,FALSE)</f>
        <v>0</v>
      </c>
      <c r="D201" s="8">
        <f>VLOOKUP(Vlookup!$B166,'CDCM Volume Forecasts'!$A$27:$AG$123,D$137,FALSE)</f>
        <v>0</v>
      </c>
      <c r="E201" s="14">
        <f>VLOOKUP(Vlookup!$B166,'CDCM Volume Forecasts'!$A$27:$AG$123,E$137,FALSE)</f>
        <v>84</v>
      </c>
      <c r="F201" s="8">
        <f>VLOOKUP(Vlookup!$B166,'CDCM Volume Forecasts'!$A$27:$AG$123,F$137,FALSE)</f>
        <v>0</v>
      </c>
      <c r="G201" s="8">
        <f>VLOOKUP(Vlookup!$B166,'CDCM Volume Forecasts'!$A$27:$AG$123,G$137,FALSE)</f>
        <v>0</v>
      </c>
      <c r="H201" s="10"/>
      <c r="I201"/>
      <c r="J201"/>
      <c r="K201"/>
    </row>
    <row r="202" spans="1:11" ht="15">
      <c r="A202" s="11" t="s">
        <v>183</v>
      </c>
      <c r="B202" s="4">
        <f>VLOOKUP(Vlookup!$B167,'CDCM Volume Forecasts'!$A$27:$AG$123,B$137,FALSE)</f>
        <v>0</v>
      </c>
      <c r="C202" s="8">
        <f>VLOOKUP(Vlookup!$B167,'CDCM Volume Forecasts'!$A$27:$AG$123,C$137,FALSE)</f>
        <v>0</v>
      </c>
      <c r="D202" s="8">
        <f>VLOOKUP(Vlookup!$B167,'CDCM Volume Forecasts'!$A$27:$AG$123,D$137,FALSE)</f>
        <v>0</v>
      </c>
      <c r="E202" s="14">
        <f>VLOOKUP(Vlookup!$B167,'CDCM Volume Forecasts'!$A$27:$AG$123,E$137,FALSE)</f>
        <v>0</v>
      </c>
      <c r="F202" s="8">
        <f>VLOOKUP(Vlookup!$B167,'CDCM Volume Forecasts'!$A$27:$AG$123,F$137,FALSE)</f>
        <v>0</v>
      </c>
      <c r="G202" s="8">
        <f>VLOOKUP(Vlookup!$B167,'CDCM Volume Forecasts'!$A$27:$AG$123,G$137,FALSE)</f>
        <v>0</v>
      </c>
      <c r="H202" s="10"/>
      <c r="I202"/>
      <c r="J202"/>
      <c r="K202"/>
    </row>
    <row r="203" spans="1:11" ht="15">
      <c r="A203" s="11" t="s">
        <v>184</v>
      </c>
      <c r="B203" s="4">
        <f>VLOOKUP(Vlookup!$B168,'CDCM Volume Forecasts'!$A$27:$AG$123,B$137,FALSE)</f>
        <v>0</v>
      </c>
      <c r="C203" s="8">
        <f>VLOOKUP(Vlookup!$B168,'CDCM Volume Forecasts'!$A$27:$AG$123,C$137,FALSE)</f>
        <v>0</v>
      </c>
      <c r="D203" s="8">
        <f>VLOOKUP(Vlookup!$B168,'CDCM Volume Forecasts'!$A$27:$AG$123,D$137,FALSE)</f>
        <v>0</v>
      </c>
      <c r="E203" s="14">
        <f>VLOOKUP(Vlookup!$B168,'CDCM Volume Forecasts'!$A$27:$AG$123,E$137,FALSE)</f>
        <v>0</v>
      </c>
      <c r="F203" s="8">
        <f>VLOOKUP(Vlookup!$B168,'CDCM Volume Forecasts'!$A$27:$AG$123,F$137,FALSE)</f>
        <v>0</v>
      </c>
      <c r="G203" s="8">
        <f>VLOOKUP(Vlookup!$B168,'CDCM Volume Forecasts'!$A$27:$AG$123,G$137,FALSE)</f>
        <v>0</v>
      </c>
      <c r="H203" s="10"/>
      <c r="I203"/>
      <c r="J203"/>
      <c r="K203"/>
    </row>
    <row r="204" spans="1:11" ht="15">
      <c r="A204" s="17" t="s">
        <v>185</v>
      </c>
      <c r="B204" s="18">
        <f>VLOOKUP(Vlookup!$B169,'CDCM Volume Forecasts'!$A$27:$AG$123,B$137,FALSE)</f>
        <v>0</v>
      </c>
      <c r="C204" s="18">
        <f>VLOOKUP(Vlookup!$B169,'CDCM Volume Forecasts'!$A$27:$AG$123,C$137,FALSE)</f>
        <v>0</v>
      </c>
      <c r="D204" s="18">
        <f>VLOOKUP(Vlookup!$B169,'CDCM Volume Forecasts'!$A$27:$AG$123,D$137,FALSE)</f>
        <v>0</v>
      </c>
      <c r="E204" s="18">
        <f>VLOOKUP(Vlookup!$B169,'CDCM Volume Forecasts'!$A$27:$AG$123,E$137,FALSE)</f>
        <v>0</v>
      </c>
      <c r="F204" s="18">
        <f>VLOOKUP(Vlookup!$B169,'CDCM Volume Forecasts'!$A$27:$AG$123,F$137,FALSE)</f>
        <v>0</v>
      </c>
      <c r="G204" s="18">
        <f>VLOOKUP(Vlookup!$B169,'CDCM Volume Forecasts'!$A$27:$AG$123,G$137,FALSE)</f>
        <v>0</v>
      </c>
      <c r="H204" s="10"/>
      <c r="I204"/>
      <c r="J204"/>
      <c r="K204"/>
    </row>
    <row r="205" spans="1:11" ht="15">
      <c r="A205" s="11" t="s">
        <v>134</v>
      </c>
      <c r="B205" s="4">
        <f>VLOOKUP(Vlookup!$B170,'CDCM Volume Forecasts'!$A$27:$AG$123,B$137,FALSE)</f>
        <v>0</v>
      </c>
      <c r="C205" s="8">
        <f>VLOOKUP(Vlookup!$B170,'CDCM Volume Forecasts'!$A$27:$AG$123,C$137,FALSE)</f>
        <v>0</v>
      </c>
      <c r="D205" s="8">
        <f>VLOOKUP(Vlookup!$B170,'CDCM Volume Forecasts'!$A$27:$AG$123,D$137,FALSE)</f>
        <v>0</v>
      </c>
      <c r="E205" s="14">
        <f>VLOOKUP(Vlookup!$B170,'CDCM Volume Forecasts'!$A$27:$AG$123,E$137,FALSE)</f>
        <v>1</v>
      </c>
      <c r="F205" s="8">
        <f>VLOOKUP(Vlookup!$B170,'CDCM Volume Forecasts'!$A$27:$AG$123,F$137,FALSE)</f>
        <v>0</v>
      </c>
      <c r="G205" s="8">
        <f>VLOOKUP(Vlookup!$B170,'CDCM Volume Forecasts'!$A$27:$AG$123,G$137,FALSE)</f>
        <v>0</v>
      </c>
      <c r="H205" s="10"/>
      <c r="I205"/>
      <c r="J205"/>
      <c r="K205"/>
    </row>
    <row r="206" spans="1:11" ht="15">
      <c r="A206" s="11" t="s">
        <v>186</v>
      </c>
      <c r="B206" s="4">
        <f>VLOOKUP(Vlookup!$B171,'CDCM Volume Forecasts'!$A$27:$AG$123,B$137,FALSE)</f>
        <v>0</v>
      </c>
      <c r="C206" s="8">
        <f>VLOOKUP(Vlookup!$B171,'CDCM Volume Forecasts'!$A$27:$AG$123,C$137,FALSE)</f>
        <v>0</v>
      </c>
      <c r="D206" s="8">
        <f>VLOOKUP(Vlookup!$B171,'CDCM Volume Forecasts'!$A$27:$AG$123,D$137,FALSE)</f>
        <v>0</v>
      </c>
      <c r="E206" s="14">
        <f>VLOOKUP(Vlookup!$B171,'CDCM Volume Forecasts'!$A$27:$AG$123,E$137,FALSE)</f>
        <v>0</v>
      </c>
      <c r="F206" s="8">
        <f>VLOOKUP(Vlookup!$B171,'CDCM Volume Forecasts'!$A$27:$AG$123,F$137,FALSE)</f>
        <v>0</v>
      </c>
      <c r="G206" s="8">
        <f>VLOOKUP(Vlookup!$B171,'CDCM Volume Forecasts'!$A$27:$AG$123,G$137,FALSE)</f>
        <v>0</v>
      </c>
      <c r="H206" s="10"/>
      <c r="I206"/>
      <c r="J206"/>
      <c r="K206"/>
    </row>
    <row r="207" spans="1:11" ht="15">
      <c r="A207" s="11" t="s">
        <v>187</v>
      </c>
      <c r="B207" s="4">
        <f>VLOOKUP(Vlookup!$B172,'CDCM Volume Forecasts'!$A$27:$AG$123,B$137,FALSE)</f>
        <v>0</v>
      </c>
      <c r="C207" s="8">
        <f>VLOOKUP(Vlookup!$B172,'CDCM Volume Forecasts'!$A$27:$AG$123,C$137,FALSE)</f>
        <v>0</v>
      </c>
      <c r="D207" s="8">
        <f>VLOOKUP(Vlookup!$B172,'CDCM Volume Forecasts'!$A$27:$AG$123,D$137,FALSE)</f>
        <v>0</v>
      </c>
      <c r="E207" s="14">
        <f>VLOOKUP(Vlookup!$B172,'CDCM Volume Forecasts'!$A$27:$AG$123,E$137,FALSE)</f>
        <v>0</v>
      </c>
      <c r="F207" s="8">
        <f>VLOOKUP(Vlookup!$B172,'CDCM Volume Forecasts'!$A$27:$AG$123,F$137,FALSE)</f>
        <v>0</v>
      </c>
      <c r="G207" s="8">
        <f>VLOOKUP(Vlookup!$B172,'CDCM Volume Forecasts'!$A$27:$AG$123,G$137,FALSE)</f>
        <v>0</v>
      </c>
      <c r="H207" s="10"/>
      <c r="I207"/>
      <c r="J207"/>
      <c r="K207"/>
    </row>
    <row r="208" spans="1:11" ht="15">
      <c r="A208" s="17" t="s">
        <v>188</v>
      </c>
      <c r="B208" s="18">
        <f>VLOOKUP(Vlookup!$B173,'CDCM Volume Forecasts'!$A$27:$AG$123,B$137,FALSE)</f>
        <v>0</v>
      </c>
      <c r="C208" s="18">
        <f>VLOOKUP(Vlookup!$B173,'CDCM Volume Forecasts'!$A$27:$AG$123,C$137,FALSE)</f>
        <v>0</v>
      </c>
      <c r="D208" s="18">
        <f>VLOOKUP(Vlookup!$B173,'CDCM Volume Forecasts'!$A$27:$AG$123,D$137,FALSE)</f>
        <v>0</v>
      </c>
      <c r="E208" s="18">
        <f>VLOOKUP(Vlookup!$B173,'CDCM Volume Forecasts'!$A$27:$AG$123,E$137,FALSE)</f>
        <v>0</v>
      </c>
      <c r="F208" s="18">
        <f>VLOOKUP(Vlookup!$B173,'CDCM Volume Forecasts'!$A$27:$AG$123,F$137,FALSE)</f>
        <v>0</v>
      </c>
      <c r="G208" s="18">
        <f>VLOOKUP(Vlookup!$B173,'CDCM Volume Forecasts'!$A$27:$AG$123,G$137,FALSE)</f>
        <v>0</v>
      </c>
      <c r="H208" s="10"/>
      <c r="I208"/>
      <c r="J208"/>
      <c r="K208"/>
    </row>
    <row r="209" spans="1:11" ht="15">
      <c r="A209" s="11" t="s">
        <v>135</v>
      </c>
      <c r="B209" s="4">
        <f>VLOOKUP(Vlookup!$B174,'CDCM Volume Forecasts'!$A$27:$AG$123,B$137,FALSE)</f>
        <v>6228.0959976775684</v>
      </c>
      <c r="C209" s="4">
        <f>VLOOKUP(Vlookup!$B174,'CDCM Volume Forecasts'!$A$27:$AG$123,C$137,FALSE)</f>
        <v>35918.74585465651</v>
      </c>
      <c r="D209" s="4">
        <f>VLOOKUP(Vlookup!$B174,'CDCM Volume Forecasts'!$A$27:$AG$123,D$137,FALSE)</f>
        <v>102458.54632787764</v>
      </c>
      <c r="E209" s="14">
        <f>VLOOKUP(Vlookup!$B174,'CDCM Volume Forecasts'!$A$27:$AG$123,E$137,FALSE)</f>
        <v>26</v>
      </c>
      <c r="F209" s="8">
        <f>VLOOKUP(Vlookup!$B174,'CDCM Volume Forecasts'!$A$27:$AG$123,F$137,FALSE)</f>
        <v>0</v>
      </c>
      <c r="G209" s="8">
        <f>VLOOKUP(Vlookup!$B174,'CDCM Volume Forecasts'!$A$27:$AG$123,G$137,FALSE)</f>
        <v>0</v>
      </c>
      <c r="H209" s="10"/>
      <c r="I209"/>
      <c r="J209"/>
      <c r="K209"/>
    </row>
    <row r="210" spans="1:11" ht="15">
      <c r="A210" s="11" t="s">
        <v>189</v>
      </c>
      <c r="B210" s="4">
        <f>VLOOKUP(Vlookup!$B175,'CDCM Volume Forecasts'!$A$27:$AG$123,B$137,FALSE)</f>
        <v>0</v>
      </c>
      <c r="C210" s="4">
        <f>VLOOKUP(Vlookup!$B175,'CDCM Volume Forecasts'!$A$27:$AG$123,C$137,FALSE)</f>
        <v>0</v>
      </c>
      <c r="D210" s="4">
        <f>VLOOKUP(Vlookup!$B175,'CDCM Volume Forecasts'!$A$27:$AG$123,D$137,FALSE)</f>
        <v>0</v>
      </c>
      <c r="E210" s="14">
        <f>VLOOKUP(Vlookup!$B175,'CDCM Volume Forecasts'!$A$27:$AG$123,E$137,FALSE)</f>
        <v>0</v>
      </c>
      <c r="F210" s="8">
        <f>VLOOKUP(Vlookup!$B175,'CDCM Volume Forecasts'!$A$27:$AG$123,F$137,FALSE)</f>
        <v>0</v>
      </c>
      <c r="G210" s="8">
        <f>VLOOKUP(Vlookup!$B175,'CDCM Volume Forecasts'!$A$27:$AG$123,G$137,FALSE)</f>
        <v>0</v>
      </c>
      <c r="H210" s="10"/>
      <c r="I210"/>
      <c r="J210"/>
      <c r="K210"/>
    </row>
    <row r="211" spans="1:11" ht="15">
      <c r="A211" s="11" t="s">
        <v>190</v>
      </c>
      <c r="B211" s="4">
        <f>VLOOKUP(Vlookup!$B176,'CDCM Volume Forecasts'!$A$27:$AG$123,B$137,FALSE)</f>
        <v>0</v>
      </c>
      <c r="C211" s="4">
        <f>VLOOKUP(Vlookup!$B176,'CDCM Volume Forecasts'!$A$27:$AG$123,C$137,FALSE)</f>
        <v>0</v>
      </c>
      <c r="D211" s="4">
        <f>VLOOKUP(Vlookup!$B176,'CDCM Volume Forecasts'!$A$27:$AG$123,D$137,FALSE)</f>
        <v>0</v>
      </c>
      <c r="E211" s="14">
        <f>VLOOKUP(Vlookup!$B176,'CDCM Volume Forecasts'!$A$27:$AG$123,E$137,FALSE)</f>
        <v>0</v>
      </c>
      <c r="F211" s="8">
        <f>VLOOKUP(Vlookup!$B176,'CDCM Volume Forecasts'!$A$27:$AG$123,F$137,FALSE)</f>
        <v>0</v>
      </c>
      <c r="G211" s="8">
        <f>VLOOKUP(Vlookup!$B176,'CDCM Volume Forecasts'!$A$27:$AG$123,G$137,FALSE)</f>
        <v>0</v>
      </c>
      <c r="H211" s="10"/>
      <c r="I211"/>
      <c r="J211"/>
      <c r="K211"/>
    </row>
    <row r="212" spans="1:11" ht="15">
      <c r="A212" s="17" t="s">
        <v>1648</v>
      </c>
      <c r="B212" s="18">
        <f>VLOOKUP(Vlookup!$B177,'CDCM Volume Forecasts'!$A$27:$AG$123,B$137,FALSE)</f>
        <v>0</v>
      </c>
      <c r="C212" s="18">
        <f>VLOOKUP(Vlookup!$B177,'CDCM Volume Forecasts'!$A$27:$AG$123,C$137,FALSE)</f>
        <v>0</v>
      </c>
      <c r="D212" s="18">
        <f>VLOOKUP(Vlookup!$B177,'CDCM Volume Forecasts'!$A$27:$AG$123,D$137,FALSE)</f>
        <v>0</v>
      </c>
      <c r="E212" s="18">
        <f>VLOOKUP(Vlookup!$B177,'CDCM Volume Forecasts'!$A$27:$AG$123,E$137,FALSE)</f>
        <v>0</v>
      </c>
      <c r="F212" s="18">
        <f>VLOOKUP(Vlookup!$B177,'CDCM Volume Forecasts'!$A$27:$AG$123,F$137,FALSE)</f>
        <v>0</v>
      </c>
      <c r="G212" s="18">
        <f>VLOOKUP(Vlookup!$B177,'CDCM Volume Forecasts'!$A$27:$AG$123,G$137,FALSE)</f>
        <v>0</v>
      </c>
      <c r="H212" s="10"/>
      <c r="I212"/>
      <c r="J212"/>
      <c r="K212"/>
    </row>
    <row r="213" spans="1:11" ht="15">
      <c r="A213" s="11" t="s">
        <v>1645</v>
      </c>
      <c r="B213" s="4">
        <f>VLOOKUP(Vlookup!$B178,'CDCM Volume Forecasts'!$A$27:$AG$123,B$137,FALSE)</f>
        <v>602.29748729184382</v>
      </c>
      <c r="C213" s="8">
        <f>VLOOKUP(Vlookup!$B178,'CDCM Volume Forecasts'!$A$27:$AG$123,C$137,FALSE)</f>
        <v>0</v>
      </c>
      <c r="D213" s="8">
        <f>VLOOKUP(Vlookup!$B178,'CDCM Volume Forecasts'!$A$27:$AG$123,D$137,FALSE)</f>
        <v>0</v>
      </c>
      <c r="E213" s="14">
        <f>VLOOKUP(Vlookup!$B178,'CDCM Volume Forecasts'!$A$27:$AG$123,E$137,FALSE)</f>
        <v>130</v>
      </c>
      <c r="F213" s="8">
        <f>VLOOKUP(Vlookup!$B178,'CDCM Volume Forecasts'!$A$27:$AG$123,F$137,FALSE)</f>
        <v>0</v>
      </c>
      <c r="G213" s="8">
        <f>VLOOKUP(Vlookup!$B178,'CDCM Volume Forecasts'!$A$27:$AG$123,G$137,FALSE)</f>
        <v>0</v>
      </c>
      <c r="H213" s="10"/>
      <c r="I213"/>
      <c r="J213"/>
      <c r="K213"/>
    </row>
    <row r="214" spans="1:11" ht="15">
      <c r="A214" s="11" t="s">
        <v>1642</v>
      </c>
      <c r="B214" s="4">
        <f>VLOOKUP(Vlookup!$B179,'CDCM Volume Forecasts'!$A$27:$AG$123,B$137,FALSE)</f>
        <v>0</v>
      </c>
      <c r="C214" s="8">
        <f>VLOOKUP(Vlookup!$B179,'CDCM Volume Forecasts'!$A$27:$AG$123,C$137,FALSE)</f>
        <v>0</v>
      </c>
      <c r="D214" s="8">
        <f>VLOOKUP(Vlookup!$B179,'CDCM Volume Forecasts'!$A$27:$AG$123,D$137,FALSE)</f>
        <v>0</v>
      </c>
      <c r="E214" s="14">
        <f>VLOOKUP(Vlookup!$B179,'CDCM Volume Forecasts'!$A$27:$AG$123,E$137,FALSE)</f>
        <v>0</v>
      </c>
      <c r="F214" s="8">
        <f>VLOOKUP(Vlookup!$B179,'CDCM Volume Forecasts'!$A$27:$AG$123,F$137,FALSE)</f>
        <v>0</v>
      </c>
      <c r="G214" s="8">
        <f>VLOOKUP(Vlookup!$B179,'CDCM Volume Forecasts'!$A$27:$AG$123,G$137,FALSE)</f>
        <v>0</v>
      </c>
      <c r="H214" s="10"/>
      <c r="I214"/>
      <c r="J214"/>
      <c r="K214"/>
    </row>
    <row r="215" spans="1:11" ht="15">
      <c r="A215" s="11" t="s">
        <v>1639</v>
      </c>
      <c r="B215" s="4">
        <f>VLOOKUP(Vlookup!$B180,'CDCM Volume Forecasts'!$A$27:$AG$123,B$137,FALSE)</f>
        <v>0</v>
      </c>
      <c r="C215" s="8">
        <f>VLOOKUP(Vlookup!$B180,'CDCM Volume Forecasts'!$A$27:$AG$123,C$137,FALSE)</f>
        <v>0</v>
      </c>
      <c r="D215" s="8">
        <f>VLOOKUP(Vlookup!$B180,'CDCM Volume Forecasts'!$A$27:$AG$123,D$137,FALSE)</f>
        <v>0</v>
      </c>
      <c r="E215" s="14">
        <f>VLOOKUP(Vlookup!$B180,'CDCM Volume Forecasts'!$A$27:$AG$123,E$137,FALSE)</f>
        <v>0</v>
      </c>
      <c r="F215" s="8">
        <f>VLOOKUP(Vlookup!$B180,'CDCM Volume Forecasts'!$A$27:$AG$123,F$137,FALSE)</f>
        <v>0</v>
      </c>
      <c r="G215" s="8">
        <f>VLOOKUP(Vlookup!$B180,'CDCM Volume Forecasts'!$A$27:$AG$123,G$137,FALSE)</f>
        <v>0</v>
      </c>
      <c r="H215" s="10"/>
      <c r="I215"/>
      <c r="J215"/>
      <c r="K215"/>
    </row>
    <row r="216" spans="1:11" ht="15">
      <c r="A216" s="17" t="s">
        <v>191</v>
      </c>
      <c r="B216" s="18">
        <f>VLOOKUP(Vlookup!$B181,'CDCM Volume Forecasts'!$A$27:$AG$123,B$137,FALSE)</f>
        <v>0</v>
      </c>
      <c r="C216" s="18">
        <f>VLOOKUP(Vlookup!$B181,'CDCM Volume Forecasts'!$A$27:$AG$123,C$137,FALSE)</f>
        <v>0</v>
      </c>
      <c r="D216" s="18">
        <f>VLOOKUP(Vlookup!$B181,'CDCM Volume Forecasts'!$A$27:$AG$123,D$137,FALSE)</f>
        <v>0</v>
      </c>
      <c r="E216" s="18">
        <f>VLOOKUP(Vlookup!$B181,'CDCM Volume Forecasts'!$A$27:$AG$123,E$137,FALSE)</f>
        <v>0</v>
      </c>
      <c r="F216" s="18">
        <f>VLOOKUP(Vlookup!$B181,'CDCM Volume Forecasts'!$A$27:$AG$123,F$137,FALSE)</f>
        <v>0</v>
      </c>
      <c r="G216" s="18">
        <f>VLOOKUP(Vlookup!$B181,'CDCM Volume Forecasts'!$A$27:$AG$123,G$137,FALSE)</f>
        <v>0</v>
      </c>
      <c r="H216" s="10"/>
      <c r="I216"/>
      <c r="J216"/>
      <c r="K216"/>
    </row>
    <row r="217" spans="1:11" ht="15">
      <c r="A217" s="11" t="s">
        <v>100</v>
      </c>
      <c r="B217" s="4">
        <f>VLOOKUP(Vlookup!$B182,'CDCM Volume Forecasts'!$A$27:$AG$123,B$137,FALSE)</f>
        <v>0</v>
      </c>
      <c r="C217" s="8">
        <f>VLOOKUP(Vlookup!$B182,'CDCM Volume Forecasts'!$A$27:$AG$123,C$137,FALSE)</f>
        <v>0</v>
      </c>
      <c r="D217" s="8">
        <f>VLOOKUP(Vlookup!$B182,'CDCM Volume Forecasts'!$A$27:$AG$123,D$137,FALSE)</f>
        <v>0</v>
      </c>
      <c r="E217" s="14">
        <f>VLOOKUP(Vlookup!$B182,'CDCM Volume Forecasts'!$A$27:$AG$123,E$137,FALSE)</f>
        <v>0</v>
      </c>
      <c r="F217" s="8">
        <f>VLOOKUP(Vlookup!$B182,'CDCM Volume Forecasts'!$A$27:$AG$123,F$137,FALSE)</f>
        <v>0</v>
      </c>
      <c r="G217" s="8">
        <f>VLOOKUP(Vlookup!$B182,'CDCM Volume Forecasts'!$A$27:$AG$123,G$137,FALSE)</f>
        <v>0</v>
      </c>
      <c r="H217" s="10"/>
      <c r="I217"/>
      <c r="J217"/>
      <c r="K217"/>
    </row>
    <row r="218" spans="1:11" ht="15">
      <c r="A218" s="11" t="s">
        <v>192</v>
      </c>
      <c r="B218" s="4">
        <f>VLOOKUP(Vlookup!$B183,'CDCM Volume Forecasts'!$A$27:$AG$123,B$137,FALSE)</f>
        <v>0</v>
      </c>
      <c r="C218" s="8">
        <f>VLOOKUP(Vlookup!$B183,'CDCM Volume Forecasts'!$A$27:$AG$123,C$137,FALSE)</f>
        <v>0</v>
      </c>
      <c r="D218" s="8">
        <f>VLOOKUP(Vlookup!$B183,'CDCM Volume Forecasts'!$A$27:$AG$123,D$137,FALSE)</f>
        <v>0</v>
      </c>
      <c r="E218" s="14">
        <f>VLOOKUP(Vlookup!$B183,'CDCM Volume Forecasts'!$A$27:$AG$123,E$137,FALSE)</f>
        <v>0</v>
      </c>
      <c r="F218" s="8">
        <f>VLOOKUP(Vlookup!$B183,'CDCM Volume Forecasts'!$A$27:$AG$123,F$137,FALSE)</f>
        <v>0</v>
      </c>
      <c r="G218" s="8">
        <f>VLOOKUP(Vlookup!$B183,'CDCM Volume Forecasts'!$A$27:$AG$123,G$137,FALSE)</f>
        <v>0</v>
      </c>
      <c r="H218" s="10"/>
      <c r="I218"/>
      <c r="J218"/>
      <c r="K218"/>
    </row>
    <row r="219" spans="1:11" ht="15">
      <c r="A219" s="17" t="s">
        <v>193</v>
      </c>
      <c r="B219" s="18">
        <f>VLOOKUP(Vlookup!$B184,'CDCM Volume Forecasts'!$A$27:$AG$123,B$137,FALSE)</f>
        <v>0</v>
      </c>
      <c r="C219" s="18">
        <f>VLOOKUP(Vlookup!$B184,'CDCM Volume Forecasts'!$A$27:$AG$123,C$137,FALSE)</f>
        <v>0</v>
      </c>
      <c r="D219" s="18">
        <f>VLOOKUP(Vlookup!$B184,'CDCM Volume Forecasts'!$A$27:$AG$123,D$137,FALSE)</f>
        <v>0</v>
      </c>
      <c r="E219" s="18">
        <f>VLOOKUP(Vlookup!$B184,'CDCM Volume Forecasts'!$A$27:$AG$123,E$137,FALSE)</f>
        <v>0</v>
      </c>
      <c r="F219" s="18">
        <f>VLOOKUP(Vlookup!$B184,'CDCM Volume Forecasts'!$A$27:$AG$123,F$137,FALSE)</f>
        <v>0</v>
      </c>
      <c r="G219" s="18">
        <f>VLOOKUP(Vlookup!$B184,'CDCM Volume Forecasts'!$A$27:$AG$123,G$137,FALSE)</f>
        <v>0</v>
      </c>
      <c r="H219" s="10"/>
      <c r="I219"/>
      <c r="J219"/>
      <c r="K219"/>
    </row>
    <row r="220" spans="1:11" ht="15">
      <c r="A220" s="11" t="s">
        <v>101</v>
      </c>
      <c r="B220" s="4">
        <f>VLOOKUP(Vlookup!$B185,'CDCM Volume Forecasts'!$A$27:$AG$123,B$137,FALSE)</f>
        <v>9529.9504738031992</v>
      </c>
      <c r="C220" s="8">
        <f>VLOOKUP(Vlookup!$B185,'CDCM Volume Forecasts'!$A$27:$AG$123,C$137,FALSE)</f>
        <v>0</v>
      </c>
      <c r="D220" s="8">
        <f>VLOOKUP(Vlookup!$B185,'CDCM Volume Forecasts'!$A$27:$AG$123,D$137,FALSE)</f>
        <v>0</v>
      </c>
      <c r="E220" s="14">
        <f>VLOOKUP(Vlookup!$B185,'CDCM Volume Forecasts'!$A$27:$AG$123,E$137,FALSE)</f>
        <v>146</v>
      </c>
      <c r="F220" s="8">
        <f>VLOOKUP(Vlookup!$B185,'CDCM Volume Forecasts'!$A$27:$AG$123,F$137,FALSE)</f>
        <v>0</v>
      </c>
      <c r="G220" s="4">
        <f>VLOOKUP(Vlookup!$B185,'CDCM Volume Forecasts'!$A$27:$AG$123,G$137,FALSE)</f>
        <v>338</v>
      </c>
      <c r="H220" s="10"/>
      <c r="I220"/>
      <c r="J220"/>
      <c r="K220"/>
    </row>
    <row r="221" spans="1:11" ht="15">
      <c r="A221" s="11" t="s">
        <v>194</v>
      </c>
      <c r="B221" s="4">
        <f>VLOOKUP(Vlookup!$B186,'CDCM Volume Forecasts'!$A$27:$AG$123,B$137,FALSE)</f>
        <v>0</v>
      </c>
      <c r="C221" s="8">
        <f>VLOOKUP(Vlookup!$B186,'CDCM Volume Forecasts'!$A$27:$AG$123,C$137,FALSE)</f>
        <v>0</v>
      </c>
      <c r="D221" s="8">
        <f>VLOOKUP(Vlookup!$B186,'CDCM Volume Forecasts'!$A$27:$AG$123,D$137,FALSE)</f>
        <v>0</v>
      </c>
      <c r="E221" s="14">
        <f>VLOOKUP(Vlookup!$B186,'CDCM Volume Forecasts'!$A$27:$AG$123,E$137,FALSE)</f>
        <v>0</v>
      </c>
      <c r="F221" s="8">
        <f>VLOOKUP(Vlookup!$B186,'CDCM Volume Forecasts'!$A$27:$AG$123,F$137,FALSE)</f>
        <v>0</v>
      </c>
      <c r="G221" s="4">
        <f>VLOOKUP(Vlookup!$B186,'CDCM Volume Forecasts'!$A$27:$AG$123,G$137,FALSE)</f>
        <v>0</v>
      </c>
      <c r="H221" s="10"/>
      <c r="I221"/>
      <c r="J221"/>
      <c r="K221"/>
    </row>
    <row r="222" spans="1:11" ht="15">
      <c r="A222" s="11" t="s">
        <v>195</v>
      </c>
      <c r="B222" s="4">
        <f>VLOOKUP(Vlookup!$B187,'CDCM Volume Forecasts'!$A$27:$AG$123,B$137,FALSE)</f>
        <v>0</v>
      </c>
      <c r="C222" s="8">
        <f>VLOOKUP(Vlookup!$B187,'CDCM Volume Forecasts'!$A$27:$AG$123,C$137,FALSE)</f>
        <v>0</v>
      </c>
      <c r="D222" s="8">
        <f>VLOOKUP(Vlookup!$B187,'CDCM Volume Forecasts'!$A$27:$AG$123,D$137,FALSE)</f>
        <v>0</v>
      </c>
      <c r="E222" s="14">
        <f>VLOOKUP(Vlookup!$B187,'CDCM Volume Forecasts'!$A$27:$AG$123,E$137,FALSE)</f>
        <v>0</v>
      </c>
      <c r="F222" s="8">
        <f>VLOOKUP(Vlookup!$B187,'CDCM Volume Forecasts'!$A$27:$AG$123,F$137,FALSE)</f>
        <v>0</v>
      </c>
      <c r="G222" s="4">
        <f>VLOOKUP(Vlookup!$B187,'CDCM Volume Forecasts'!$A$27:$AG$123,G$137,FALSE)</f>
        <v>0</v>
      </c>
      <c r="H222" s="10"/>
      <c r="I222"/>
      <c r="J222"/>
      <c r="K222"/>
    </row>
    <row r="223" spans="1:11" ht="15">
      <c r="A223" s="17" t="s">
        <v>196</v>
      </c>
      <c r="B223" s="18">
        <f>VLOOKUP(Vlookup!$B188,'CDCM Volume Forecasts'!$A$27:$AG$123,B$137,FALSE)</f>
        <v>0</v>
      </c>
      <c r="C223" s="18">
        <f>VLOOKUP(Vlookup!$B188,'CDCM Volume Forecasts'!$A$27:$AG$123,C$137,FALSE)</f>
        <v>0</v>
      </c>
      <c r="D223" s="18">
        <f>VLOOKUP(Vlookup!$B188,'CDCM Volume Forecasts'!$A$27:$AG$123,D$137,FALSE)</f>
        <v>0</v>
      </c>
      <c r="E223" s="18">
        <f>VLOOKUP(Vlookup!$B188,'CDCM Volume Forecasts'!$A$27:$AG$123,E$137,FALSE)</f>
        <v>0</v>
      </c>
      <c r="F223" s="18">
        <f>VLOOKUP(Vlookup!$B188,'CDCM Volume Forecasts'!$A$27:$AG$123,F$137,FALSE)</f>
        <v>0</v>
      </c>
      <c r="G223" s="18">
        <f>VLOOKUP(Vlookup!$B188,'CDCM Volume Forecasts'!$A$27:$AG$123,G$137,FALSE)</f>
        <v>0</v>
      </c>
      <c r="H223" s="10"/>
      <c r="I223"/>
      <c r="J223"/>
      <c r="K223"/>
    </row>
    <row r="224" spans="1:11" ht="15">
      <c r="A224" s="11" t="s">
        <v>102</v>
      </c>
      <c r="B224" s="4">
        <f>VLOOKUP(Vlookup!$B189,'CDCM Volume Forecasts'!$A$27:$AG$123,B$137,FALSE)</f>
        <v>130.2286029240839</v>
      </c>
      <c r="C224" s="4">
        <f>VLOOKUP(Vlookup!$B189,'CDCM Volume Forecasts'!$A$27:$AG$123,C$137,FALSE)</f>
        <v>867.1493329537202</v>
      </c>
      <c r="D224" s="4">
        <f>VLOOKUP(Vlookup!$B189,'CDCM Volume Forecasts'!$A$27:$AG$123,D$137,FALSE)</f>
        <v>897.89995991983972</v>
      </c>
      <c r="E224" s="14">
        <f>VLOOKUP(Vlookup!$B189,'CDCM Volume Forecasts'!$A$27:$AG$123,E$137,FALSE)</f>
        <v>11</v>
      </c>
      <c r="F224" s="8">
        <f>VLOOKUP(Vlookup!$B189,'CDCM Volume Forecasts'!$A$27:$AG$123,F$137,FALSE)</f>
        <v>0</v>
      </c>
      <c r="G224" s="4">
        <f>VLOOKUP(Vlookup!$B189,'CDCM Volume Forecasts'!$A$27:$AG$123,G$137,FALSE)</f>
        <v>31</v>
      </c>
      <c r="H224" s="10"/>
      <c r="I224"/>
      <c r="J224"/>
      <c r="K224"/>
    </row>
    <row r="225" spans="1:11" ht="15">
      <c r="A225" s="11" t="s">
        <v>197</v>
      </c>
      <c r="B225" s="4">
        <f>VLOOKUP(Vlookup!$B190,'CDCM Volume Forecasts'!$A$27:$AG$123,B$137,FALSE)</f>
        <v>0</v>
      </c>
      <c r="C225" s="4">
        <f>VLOOKUP(Vlookup!$B190,'CDCM Volume Forecasts'!$A$27:$AG$123,C$137,FALSE)</f>
        <v>0</v>
      </c>
      <c r="D225" s="4">
        <f>VLOOKUP(Vlookup!$B190,'CDCM Volume Forecasts'!$A$27:$AG$123,D$137,FALSE)</f>
        <v>0</v>
      </c>
      <c r="E225" s="14">
        <f>VLOOKUP(Vlookup!$B190,'CDCM Volume Forecasts'!$A$27:$AG$123,E$137,FALSE)</f>
        <v>0</v>
      </c>
      <c r="F225" s="8">
        <f>VLOOKUP(Vlookup!$B190,'CDCM Volume Forecasts'!$A$27:$AG$123,F$137,FALSE)</f>
        <v>0</v>
      </c>
      <c r="G225" s="4">
        <f>VLOOKUP(Vlookup!$B190,'CDCM Volume Forecasts'!$A$27:$AG$123,G$137,FALSE)</f>
        <v>0</v>
      </c>
      <c r="H225" s="10"/>
      <c r="I225"/>
      <c r="J225"/>
      <c r="K225"/>
    </row>
    <row r="226" spans="1:11" ht="15">
      <c r="A226" s="11" t="s">
        <v>198</v>
      </c>
      <c r="B226" s="4">
        <f>VLOOKUP(Vlookup!$B191,'CDCM Volume Forecasts'!$A$27:$AG$123,B$137,FALSE)</f>
        <v>0</v>
      </c>
      <c r="C226" s="4">
        <f>VLOOKUP(Vlookup!$B191,'CDCM Volume Forecasts'!$A$27:$AG$123,C$137,FALSE)</f>
        <v>0</v>
      </c>
      <c r="D226" s="4">
        <f>VLOOKUP(Vlookup!$B191,'CDCM Volume Forecasts'!$A$27:$AG$123,D$137,FALSE)</f>
        <v>0</v>
      </c>
      <c r="E226" s="14">
        <f>VLOOKUP(Vlookup!$B191,'CDCM Volume Forecasts'!$A$27:$AG$123,E$137,FALSE)</f>
        <v>0</v>
      </c>
      <c r="F226" s="8">
        <f>VLOOKUP(Vlookup!$B191,'CDCM Volume Forecasts'!$A$27:$AG$123,F$137,FALSE)</f>
        <v>0</v>
      </c>
      <c r="G226" s="4">
        <f>VLOOKUP(Vlookup!$B191,'CDCM Volume Forecasts'!$A$27:$AG$123,G$137,FALSE)</f>
        <v>0</v>
      </c>
      <c r="H226" s="10"/>
      <c r="I226"/>
      <c r="J226"/>
      <c r="K226"/>
    </row>
    <row r="227" spans="1:11" ht="15">
      <c r="A227" s="17" t="s">
        <v>199</v>
      </c>
      <c r="B227" s="18">
        <f>VLOOKUP(Vlookup!$B192,'CDCM Volume Forecasts'!$A$27:$AG$123,B$137,FALSE)</f>
        <v>0</v>
      </c>
      <c r="C227" s="18">
        <f>VLOOKUP(Vlookup!$B192,'CDCM Volume Forecasts'!$A$27:$AG$123,C$137,FALSE)</f>
        <v>0</v>
      </c>
      <c r="D227" s="18">
        <f>VLOOKUP(Vlookup!$B192,'CDCM Volume Forecasts'!$A$27:$AG$123,D$137,FALSE)</f>
        <v>0</v>
      </c>
      <c r="E227" s="18">
        <f>VLOOKUP(Vlookup!$B192,'CDCM Volume Forecasts'!$A$27:$AG$123,E$137,FALSE)</f>
        <v>0</v>
      </c>
      <c r="F227" s="18">
        <f>VLOOKUP(Vlookup!$B192,'CDCM Volume Forecasts'!$A$27:$AG$123,F$137,FALSE)</f>
        <v>0</v>
      </c>
      <c r="G227" s="18">
        <f>VLOOKUP(Vlookup!$B192,'CDCM Volume Forecasts'!$A$27:$AG$123,G$137,FALSE)</f>
        <v>0</v>
      </c>
      <c r="H227" s="10"/>
      <c r="I227"/>
      <c r="J227"/>
      <c r="K227"/>
    </row>
    <row r="228" spans="1:11" ht="15">
      <c r="A228" s="11" t="s">
        <v>103</v>
      </c>
      <c r="B228" s="4">
        <f>VLOOKUP(Vlookup!$B193,'CDCM Volume Forecasts'!$A$27:$AG$123,B$137,FALSE)</f>
        <v>37.670999999999999</v>
      </c>
      <c r="C228" s="8">
        <f>VLOOKUP(Vlookup!$B193,'CDCM Volume Forecasts'!$A$27:$AG$123,C$137,FALSE)</f>
        <v>0</v>
      </c>
      <c r="D228" s="8">
        <f>VLOOKUP(Vlookup!$B193,'CDCM Volume Forecasts'!$A$27:$AG$123,D$137,FALSE)</f>
        <v>0</v>
      </c>
      <c r="E228" s="14">
        <f>VLOOKUP(Vlookup!$B193,'CDCM Volume Forecasts'!$A$27:$AG$123,E$137,FALSE)</f>
        <v>1</v>
      </c>
      <c r="F228" s="8">
        <f>VLOOKUP(Vlookup!$B193,'CDCM Volume Forecasts'!$A$27:$AG$123,F$137,FALSE)</f>
        <v>0</v>
      </c>
      <c r="G228" s="4">
        <f>VLOOKUP(Vlookup!$B193,'CDCM Volume Forecasts'!$A$27:$AG$123,G$137,FALSE)</f>
        <v>0</v>
      </c>
      <c r="H228" s="10"/>
      <c r="I228"/>
      <c r="J228"/>
      <c r="K228"/>
    </row>
    <row r="229" spans="1:11" ht="15">
      <c r="A229" s="11" t="s">
        <v>200</v>
      </c>
      <c r="B229" s="4">
        <f>VLOOKUP(Vlookup!$B194,'CDCM Volume Forecasts'!$A$27:$AG$123,B$137,FALSE)</f>
        <v>0</v>
      </c>
      <c r="C229" s="8">
        <f>VLOOKUP(Vlookup!$B194,'CDCM Volume Forecasts'!$A$27:$AG$123,C$137,FALSE)</f>
        <v>0</v>
      </c>
      <c r="D229" s="8">
        <f>VLOOKUP(Vlookup!$B194,'CDCM Volume Forecasts'!$A$27:$AG$123,D$137,FALSE)</f>
        <v>0</v>
      </c>
      <c r="E229" s="14">
        <f>VLOOKUP(Vlookup!$B194,'CDCM Volume Forecasts'!$A$27:$AG$123,E$137,FALSE)</f>
        <v>0</v>
      </c>
      <c r="F229" s="8">
        <f>VLOOKUP(Vlookup!$B194,'CDCM Volume Forecasts'!$A$27:$AG$123,F$137,FALSE)</f>
        <v>0</v>
      </c>
      <c r="G229" s="4">
        <f>VLOOKUP(Vlookup!$B194,'CDCM Volume Forecasts'!$A$27:$AG$123,G$137,FALSE)</f>
        <v>0</v>
      </c>
      <c r="H229" s="10"/>
      <c r="I229"/>
      <c r="J229"/>
      <c r="K229"/>
    </row>
    <row r="230" spans="1:11" ht="15">
      <c r="A230" s="17" t="s">
        <v>201</v>
      </c>
      <c r="B230" s="18">
        <f>VLOOKUP(Vlookup!$B195,'CDCM Volume Forecasts'!$A$27:$AG$123,B$137,FALSE)</f>
        <v>0</v>
      </c>
      <c r="C230" s="18">
        <f>VLOOKUP(Vlookup!$B195,'CDCM Volume Forecasts'!$A$27:$AG$123,C$137,FALSE)</f>
        <v>0</v>
      </c>
      <c r="D230" s="18">
        <f>VLOOKUP(Vlookup!$B195,'CDCM Volume Forecasts'!$A$27:$AG$123,D$137,FALSE)</f>
        <v>0</v>
      </c>
      <c r="E230" s="18">
        <f>VLOOKUP(Vlookup!$B195,'CDCM Volume Forecasts'!$A$27:$AG$123,E$137,FALSE)</f>
        <v>0</v>
      </c>
      <c r="F230" s="18">
        <f>VLOOKUP(Vlookup!$B195,'CDCM Volume Forecasts'!$A$27:$AG$123,F$137,FALSE)</f>
        <v>0</v>
      </c>
      <c r="G230" s="18">
        <f>VLOOKUP(Vlookup!$B195,'CDCM Volume Forecasts'!$A$27:$AG$123,G$137,FALSE)</f>
        <v>0</v>
      </c>
      <c r="H230" s="10"/>
      <c r="I230"/>
      <c r="J230"/>
      <c r="K230"/>
    </row>
    <row r="231" spans="1:11" ht="15">
      <c r="A231" s="11" t="s">
        <v>104</v>
      </c>
      <c r="B231" s="4">
        <f>VLOOKUP(Vlookup!$B196,'CDCM Volume Forecasts'!$A$27:$AG$123,B$137,FALSE)</f>
        <v>0</v>
      </c>
      <c r="C231" s="4">
        <f>VLOOKUP(Vlookup!$B196,'CDCM Volume Forecasts'!$A$27:$AG$123,C$137,FALSE)</f>
        <v>0</v>
      </c>
      <c r="D231" s="4">
        <f>VLOOKUP(Vlookup!$B196,'CDCM Volume Forecasts'!$A$27:$AG$123,D$137,FALSE)</f>
        <v>0</v>
      </c>
      <c r="E231" s="14">
        <f>VLOOKUP(Vlookup!$B196,'CDCM Volume Forecasts'!$A$27:$AG$123,E$137,FALSE)</f>
        <v>0</v>
      </c>
      <c r="F231" s="8">
        <f>VLOOKUP(Vlookup!$B196,'CDCM Volume Forecasts'!$A$27:$AG$123,F$137,FALSE)</f>
        <v>0</v>
      </c>
      <c r="G231" s="4">
        <f>VLOOKUP(Vlookup!$B196,'CDCM Volume Forecasts'!$A$27:$AG$123,G$137,FALSE)</f>
        <v>0</v>
      </c>
      <c r="H231" s="10"/>
      <c r="I231"/>
      <c r="J231"/>
      <c r="K231"/>
    </row>
    <row r="232" spans="1:11" ht="15">
      <c r="A232" s="11" t="s">
        <v>202</v>
      </c>
      <c r="B232" s="4">
        <f>VLOOKUP(Vlookup!$B197,'CDCM Volume Forecasts'!$A$27:$AG$123,B$137,FALSE)</f>
        <v>0</v>
      </c>
      <c r="C232" s="4">
        <f>VLOOKUP(Vlookup!$B197,'CDCM Volume Forecasts'!$A$27:$AG$123,C$137,FALSE)</f>
        <v>0</v>
      </c>
      <c r="D232" s="4">
        <f>VLOOKUP(Vlookup!$B197,'CDCM Volume Forecasts'!$A$27:$AG$123,D$137,FALSE)</f>
        <v>0</v>
      </c>
      <c r="E232" s="14">
        <f>VLOOKUP(Vlookup!$B197,'CDCM Volume Forecasts'!$A$27:$AG$123,E$137,FALSE)</f>
        <v>0</v>
      </c>
      <c r="F232" s="8">
        <f>VLOOKUP(Vlookup!$B197,'CDCM Volume Forecasts'!$A$27:$AG$123,F$137,FALSE)</f>
        <v>0</v>
      </c>
      <c r="G232" s="4">
        <f>VLOOKUP(Vlookup!$B197,'CDCM Volume Forecasts'!$A$27:$AG$123,G$137,FALSE)</f>
        <v>0</v>
      </c>
      <c r="H232" s="10"/>
      <c r="I232"/>
      <c r="J232"/>
      <c r="K232"/>
    </row>
    <row r="233" spans="1:11" ht="15">
      <c r="A233" s="17" t="s">
        <v>203</v>
      </c>
      <c r="B233" s="18">
        <f>VLOOKUP(Vlookup!$B198,'CDCM Volume Forecasts'!$A$27:$AG$123,B$137,FALSE)</f>
        <v>0</v>
      </c>
      <c r="C233" s="18">
        <f>VLOOKUP(Vlookup!$B198,'CDCM Volume Forecasts'!$A$27:$AG$123,C$137,FALSE)</f>
        <v>0</v>
      </c>
      <c r="D233" s="18">
        <f>VLOOKUP(Vlookup!$B198,'CDCM Volume Forecasts'!$A$27:$AG$123,D$137,FALSE)</f>
        <v>0</v>
      </c>
      <c r="E233" s="18">
        <f>VLOOKUP(Vlookup!$B198,'CDCM Volume Forecasts'!$A$27:$AG$123,E$137,FALSE)</f>
        <v>0</v>
      </c>
      <c r="F233" s="18">
        <f>VLOOKUP(Vlookup!$B198,'CDCM Volume Forecasts'!$A$27:$AG$123,F$137,FALSE)</f>
        <v>0</v>
      </c>
      <c r="G233" s="18">
        <f>VLOOKUP(Vlookup!$B198,'CDCM Volume Forecasts'!$A$27:$AG$123,G$137,FALSE)</f>
        <v>0</v>
      </c>
      <c r="H233" s="10"/>
      <c r="I233"/>
      <c r="J233"/>
      <c r="K233"/>
    </row>
    <row r="234" spans="1:11" ht="15">
      <c r="A234" s="11" t="s">
        <v>112</v>
      </c>
      <c r="B234" s="4">
        <f>VLOOKUP(Vlookup!$B199,'CDCM Volume Forecasts'!$A$27:$AG$123,B$137,FALSE)</f>
        <v>44577.689286771631</v>
      </c>
      <c r="C234" s="8">
        <f>VLOOKUP(Vlookup!$B199,'CDCM Volume Forecasts'!$A$27:$AG$123,C$137,FALSE)</f>
        <v>0</v>
      </c>
      <c r="D234" s="8">
        <f>VLOOKUP(Vlookup!$B199,'CDCM Volume Forecasts'!$A$27:$AG$123,D$137,FALSE)</f>
        <v>0</v>
      </c>
      <c r="E234" s="14">
        <f>VLOOKUP(Vlookup!$B199,'CDCM Volume Forecasts'!$A$27:$AG$123,E$137,FALSE)</f>
        <v>27</v>
      </c>
      <c r="F234" s="8">
        <f>VLOOKUP(Vlookup!$B199,'CDCM Volume Forecasts'!$A$27:$AG$123,F$137,FALSE)</f>
        <v>0</v>
      </c>
      <c r="G234" s="4">
        <f>VLOOKUP(Vlookup!$B199,'CDCM Volume Forecasts'!$A$27:$AG$123,G$137,FALSE)</f>
        <v>859</v>
      </c>
      <c r="H234" s="10"/>
      <c r="I234"/>
      <c r="J234"/>
      <c r="K234"/>
    </row>
    <row r="235" spans="1:11" ht="15">
      <c r="A235" s="11" t="s">
        <v>204</v>
      </c>
      <c r="B235" s="4">
        <f>VLOOKUP(Vlookup!$B200,'CDCM Volume Forecasts'!$A$27:$AG$123,B$137,FALSE)</f>
        <v>0</v>
      </c>
      <c r="C235" s="8">
        <f>VLOOKUP(Vlookup!$B200,'CDCM Volume Forecasts'!$A$27:$AG$123,C$137,FALSE)</f>
        <v>0</v>
      </c>
      <c r="D235" s="8">
        <f>VLOOKUP(Vlookup!$B200,'CDCM Volume Forecasts'!$A$27:$AG$123,D$137,FALSE)</f>
        <v>0</v>
      </c>
      <c r="E235" s="14">
        <f>VLOOKUP(Vlookup!$B200,'CDCM Volume Forecasts'!$A$27:$AG$123,E$137,FALSE)</f>
        <v>0</v>
      </c>
      <c r="F235" s="8">
        <f>VLOOKUP(Vlookup!$B200,'CDCM Volume Forecasts'!$A$27:$AG$123,F$137,FALSE)</f>
        <v>0</v>
      </c>
      <c r="G235" s="4">
        <f>VLOOKUP(Vlookup!$B200,'CDCM Volume Forecasts'!$A$27:$AG$123,G$137,FALSE)</f>
        <v>0</v>
      </c>
      <c r="H235" s="10"/>
      <c r="I235"/>
      <c r="J235"/>
      <c r="K235"/>
    </row>
    <row r="236" spans="1:11" ht="15">
      <c r="A236" s="17" t="s">
        <v>205</v>
      </c>
      <c r="B236" s="18">
        <f>VLOOKUP(Vlookup!$B201,'CDCM Volume Forecasts'!$A$27:$AG$123,B$137,FALSE)</f>
        <v>0</v>
      </c>
      <c r="C236" s="18">
        <f>VLOOKUP(Vlookup!$B201,'CDCM Volume Forecasts'!$A$27:$AG$123,C$137,FALSE)</f>
        <v>0</v>
      </c>
      <c r="D236" s="18">
        <f>VLOOKUP(Vlookup!$B201,'CDCM Volume Forecasts'!$A$27:$AG$123,D$137,FALSE)</f>
        <v>0</v>
      </c>
      <c r="E236" s="18">
        <f>VLOOKUP(Vlookup!$B201,'CDCM Volume Forecasts'!$A$27:$AG$123,E$137,FALSE)</f>
        <v>0</v>
      </c>
      <c r="F236" s="18">
        <f>VLOOKUP(Vlookup!$B201,'CDCM Volume Forecasts'!$A$27:$AG$123,F$137,FALSE)</f>
        <v>0</v>
      </c>
      <c r="G236" s="18">
        <f>VLOOKUP(Vlookup!$B201,'CDCM Volume Forecasts'!$A$27:$AG$123,G$137,FALSE)</f>
        <v>0</v>
      </c>
      <c r="H236" s="10"/>
      <c r="I236"/>
      <c r="J236"/>
      <c r="K236"/>
    </row>
    <row r="237" spans="1:11" ht="15">
      <c r="A237" s="11" t="s">
        <v>113</v>
      </c>
      <c r="B237" s="4">
        <f>VLOOKUP(Vlookup!$B202,'CDCM Volume Forecasts'!$A$27:$AG$123,B$137,FALSE)</f>
        <v>9070.7235647319703</v>
      </c>
      <c r="C237" s="4">
        <f>VLOOKUP(Vlookup!$B202,'CDCM Volume Forecasts'!$A$27:$AG$123,C$137,FALSE)</f>
        <v>44174.558442663067</v>
      </c>
      <c r="D237" s="4">
        <f>VLOOKUP(Vlookup!$B202,'CDCM Volume Forecasts'!$A$27:$AG$123,D$137,FALSE)</f>
        <v>48120.15616862481</v>
      </c>
      <c r="E237" s="14">
        <f>VLOOKUP(Vlookup!$B202,'CDCM Volume Forecasts'!$A$27:$AG$123,E$137,FALSE)</f>
        <v>27</v>
      </c>
      <c r="F237" s="8">
        <f>VLOOKUP(Vlookup!$B202,'CDCM Volume Forecasts'!$A$27:$AG$123,F$137,FALSE)</f>
        <v>0</v>
      </c>
      <c r="G237" s="4">
        <f>VLOOKUP(Vlookup!$B202,'CDCM Volume Forecasts'!$A$27:$AG$123,G$137,FALSE)</f>
        <v>742</v>
      </c>
      <c r="H237" s="10"/>
      <c r="I237"/>
      <c r="J237"/>
      <c r="K237"/>
    </row>
    <row r="238" spans="1:11" ht="15">
      <c r="A238" s="11" t="s">
        <v>206</v>
      </c>
      <c r="B238" s="4">
        <f>VLOOKUP(Vlookup!$B203,'CDCM Volume Forecasts'!$A$27:$AG$123,B$137,FALSE)</f>
        <v>0</v>
      </c>
      <c r="C238" s="4">
        <f>VLOOKUP(Vlookup!$B203,'CDCM Volume Forecasts'!$A$27:$AG$123,C$137,FALSE)</f>
        <v>0</v>
      </c>
      <c r="D238" s="4">
        <f>VLOOKUP(Vlookup!$B203,'CDCM Volume Forecasts'!$A$27:$AG$123,D$137,FALSE)</f>
        <v>0</v>
      </c>
      <c r="E238" s="14">
        <f>VLOOKUP(Vlookup!$B203,'CDCM Volume Forecasts'!$A$27:$AG$123,E$137,FALSE)</f>
        <v>0</v>
      </c>
      <c r="F238" s="8">
        <f>VLOOKUP(Vlookup!$B203,'CDCM Volume Forecasts'!$A$27:$AG$123,F$137,FALSE)</f>
        <v>0</v>
      </c>
      <c r="G238" s="4">
        <f>VLOOKUP(Vlookup!$B203,'CDCM Volume Forecasts'!$A$27:$AG$123,G$137,FALSE)</f>
        <v>0</v>
      </c>
      <c r="H238" s="10"/>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11" t="s">
        <v>209</v>
      </c>
      <c r="B244" s="14">
        <f>VLOOKUP(Vlookup!B209,'CDCM Forecast Data'!$A$14:$I$271,8,FALSE)</f>
        <v>10856487.638154518</v>
      </c>
      <c r="C244" s="10"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11" t="s">
        <v>215</v>
      </c>
      <c r="B249" s="14">
        <f>VLOOKUP(Vlookup!B214,'CDCM Forecast Data'!$A$14:$I$271,8,FALSE)</f>
        <v>20076777.978850037</v>
      </c>
      <c r="C249" s="14">
        <f>VLOOKUP(Vlookup!C214,'CDCM Forecast Data'!$A$14:$I$271,8,FALSE)</f>
        <v>65745659.136024669</v>
      </c>
      <c r="D249" s="16">
        <f>VLOOKUP(Vlookup!D214,'CDCM Forecast Data'!$A$14:$I$271,8,FALSE)</f>
        <v>0.6</v>
      </c>
      <c r="E249" s="14">
        <f>VLOOKUP(Vlookup!E214,'CDCM Forecast Data'!$A$14:$I$271,8,FALSE)</f>
        <v>17765875.53483364</v>
      </c>
      <c r="F249" s="10"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11" t="s">
        <v>228</v>
      </c>
      <c r="B257" s="16">
        <f>VLOOKUP(Vlookup!B222,'CDCM Forecast Data'!$A$14:$I$271,8,FALSE)</f>
        <v>0</v>
      </c>
      <c r="C257" s="16">
        <f>VLOOKUP(Vlookup!C222,'CDCM Forecast Data'!$A$14:$I$271,8,FALSE)</f>
        <v>0</v>
      </c>
      <c r="D257" s="16">
        <f>VLOOKUP(Vlookup!D222,'CDCM Forecast Data'!$A$14:$I$271,8,FALSE)</f>
        <v>0</v>
      </c>
      <c r="E257" s="16">
        <f>VLOOKUP(Vlookup!E222,'CDCM Forecast Data'!$A$14:$I$271,8,FALSE)</f>
        <v>0.75</v>
      </c>
      <c r="F257" s="16">
        <f>VLOOKUP(Vlookup!F222,'CDCM Forecast Data'!$A$14:$I$271,8,FALSE)</f>
        <v>0.75</v>
      </c>
      <c r="G257" s="16">
        <f>VLOOKUP(Vlookup!G222,'CDCM Forecast Data'!$A$14:$I$271,8,FALSE)</f>
        <v>0.75</v>
      </c>
      <c r="H257" s="16">
        <f>VLOOKUP(Vlookup!H222,'CDCM Forecast Data'!$A$14:$I$271,8,FALSE)</f>
        <v>0.95</v>
      </c>
      <c r="I257" s="16">
        <f>VLOOKUP(Vlookup!I222,'CDCM Forecast Data'!$A$14:$I$271,8,FALSE)</f>
        <v>0.95</v>
      </c>
      <c r="J257" s="10" t="s">
        <v>262</v>
      </c>
      <c r="K257"/>
    </row>
    <row r="258" spans="1:11" ht="15">
      <c r="A258" s="11" t="s">
        <v>229</v>
      </c>
      <c r="B258" s="16">
        <f>VLOOKUP(Vlookup!B223,'CDCM Forecast Data'!$A$14:$I$271,8,FALSE)</f>
        <v>0</v>
      </c>
      <c r="C258" s="16">
        <f>VLOOKUP(Vlookup!C223,'CDCM Forecast Data'!$A$14:$I$271,8,FALSE)</f>
        <v>0</v>
      </c>
      <c r="D258" s="16">
        <f>VLOOKUP(Vlookup!D223,'CDCM Forecast Data'!$A$14:$I$271,8,FALSE)</f>
        <v>0</v>
      </c>
      <c r="E258" s="16">
        <f>VLOOKUP(Vlookup!E223,'CDCM Forecast Data'!$A$14:$I$271,8,FALSE)</f>
        <v>0.75</v>
      </c>
      <c r="F258" s="16">
        <f>VLOOKUP(Vlookup!F223,'CDCM Forecast Data'!$A$14:$I$271,8,FALSE)</f>
        <v>0.75</v>
      </c>
      <c r="G258" s="16">
        <f>VLOOKUP(Vlookup!G223,'CDCM Forecast Data'!$A$14:$I$271,8,FALSE)</f>
        <v>0.75</v>
      </c>
      <c r="H258" s="16">
        <f>VLOOKUP(Vlookup!H223,'CDCM Forecast Data'!$A$14:$I$271,8,FALSE)</f>
        <v>0.95</v>
      </c>
      <c r="I258" s="8"/>
      <c r="J258" s="10" t="s">
        <v>262</v>
      </c>
      <c r="K258"/>
    </row>
    <row r="259" spans="1:11" ht="15">
      <c r="A259" s="11" t="s">
        <v>230</v>
      </c>
      <c r="B259" s="16">
        <f>VLOOKUP(Vlookup!B224,'CDCM Forecast Data'!$A$14:$I$271,8,FALSE)</f>
        <v>0</v>
      </c>
      <c r="C259" s="16">
        <f>VLOOKUP(Vlookup!C224,'CDCM Forecast Data'!$A$14:$I$271,8,FALSE)</f>
        <v>0.36</v>
      </c>
      <c r="D259" s="16">
        <f>VLOOKUP(Vlookup!D224,'CDCM Forecast Data'!$A$14:$I$271,8,FALSE)</f>
        <v>0.36</v>
      </c>
      <c r="E259" s="16">
        <f>VLOOKUP(Vlookup!E224,'CDCM Forecast Data'!$A$14:$I$271,8,FALSE)</f>
        <v>0.91</v>
      </c>
      <c r="F259" s="16">
        <f>VLOOKUP(Vlookup!F224,'CDCM Forecast Data'!$A$14:$I$271,8,FALSE)</f>
        <v>0.91</v>
      </c>
      <c r="G259" s="16">
        <f>VLOOKUP(Vlookup!G224,'CDCM Forecast Data'!$A$14:$I$271,8,FALSE)</f>
        <v>0.91</v>
      </c>
      <c r="H259" s="8"/>
      <c r="I259" s="8"/>
      <c r="J259" s="10" t="s">
        <v>262</v>
      </c>
      <c r="K259"/>
    </row>
    <row r="260" spans="1:11" ht="15">
      <c r="A260" s="11" t="s">
        <v>231</v>
      </c>
      <c r="B260" s="16">
        <f>VLOOKUP(Vlookup!B225,'CDCM Forecast Data'!$A$14:$I$271,8,FALSE)</f>
        <v>0</v>
      </c>
      <c r="C260" s="16">
        <f>VLOOKUP(Vlookup!C225,'CDCM Forecast Data'!$A$14:$I$271,8,FALSE)</f>
        <v>0.36</v>
      </c>
      <c r="D260" s="16">
        <f>VLOOKUP(Vlookup!D225,'CDCM Forecast Data'!$A$14:$I$271,8,FALSE)</f>
        <v>0.36</v>
      </c>
      <c r="E260" s="16">
        <f>VLOOKUP(Vlookup!E225,'CDCM Forecast Data'!$A$14:$I$271,8,FALSE)</f>
        <v>0.91</v>
      </c>
      <c r="F260" s="8"/>
      <c r="G260" s="8"/>
      <c r="H260" s="8"/>
      <c r="I260" s="8"/>
      <c r="J260" s="10"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11" t="s">
        <v>92</v>
      </c>
      <c r="B265" s="16">
        <f>VLOOKUP(Vlookup!B235,'CDCM Forecast Data'!$A$14:$I$271,5,FALSE)</f>
        <v>0.11298330820969384</v>
      </c>
      <c r="C265" s="16">
        <f>VLOOKUP(Vlookup!C235,'CDCM Forecast Data'!$A$14:$I$271,5,FALSE)</f>
        <v>0.50223801835264836</v>
      </c>
      <c r="D265" s="16">
        <f>VLOOKUP(Vlookup!D235,'CDCM Forecast Data'!$A$14:$I$271,5,FALSE)</f>
        <v>0.38477867343765787</v>
      </c>
      <c r="E265" s="10" t="s">
        <v>262</v>
      </c>
      <c r="F265"/>
      <c r="G265"/>
      <c r="H265"/>
      <c r="I265"/>
      <c r="J265"/>
      <c r="K265"/>
    </row>
    <row r="266" spans="1:11" ht="15">
      <c r="A266" s="11" t="s">
        <v>93</v>
      </c>
      <c r="B266" s="16">
        <f>VLOOKUP(Vlookup!B236,'CDCM Forecast Data'!$A$14:$I$271,5,FALSE)</f>
        <v>0.13327131053018113</v>
      </c>
      <c r="C266" s="16">
        <f>VLOOKUP(Vlookup!C236,'CDCM Forecast Data'!$A$14:$I$271,5,FALSE)</f>
        <v>0.57760793092211993</v>
      </c>
      <c r="D266" s="16">
        <f>VLOOKUP(Vlookup!D236,'CDCM Forecast Data'!$A$14:$I$271,5,FALSE)</f>
        <v>0.28912075854769903</v>
      </c>
      <c r="E266" s="10" t="s">
        <v>262</v>
      </c>
      <c r="F266"/>
      <c r="G266"/>
      <c r="H266"/>
      <c r="I266"/>
      <c r="J266"/>
      <c r="K266"/>
    </row>
    <row r="267" spans="1:11" ht="15">
      <c r="A267" s="11" t="s">
        <v>129</v>
      </c>
      <c r="B267" s="16">
        <f>VLOOKUP(Vlookup!B237,'CDCM Forecast Data'!$A$14:$I$271,5,FALSE)</f>
        <v>2.8375924531958633E-7</v>
      </c>
      <c r="C267" s="16">
        <f>VLOOKUP(Vlookup!C237,'CDCM Forecast Data'!$A$14:$I$271,5,FALSE)</f>
        <v>0.16926612955281603</v>
      </c>
      <c r="D267" s="16">
        <f>VLOOKUP(Vlookup!D237,'CDCM Forecast Data'!$A$14:$I$271,5,FALSE)</f>
        <v>0.83073358668793862</v>
      </c>
      <c r="E267" s="10"/>
      <c r="F267"/>
      <c r="G267"/>
      <c r="H267"/>
      <c r="I267"/>
      <c r="J267"/>
      <c r="K267"/>
    </row>
    <row r="268" spans="1:11" ht="15">
      <c r="A268" s="11" t="s">
        <v>94</v>
      </c>
      <c r="B268" s="16">
        <f>VLOOKUP(Vlookup!B238,'CDCM Forecast Data'!$A$14:$I$271,5,FALSE)</f>
        <v>7.1203946559325326E-2</v>
      </c>
      <c r="C268" s="16">
        <f>VLOOKUP(Vlookup!C238,'CDCM Forecast Data'!$A$14:$I$271,5,FALSE)</f>
        <v>0.58452126520102876</v>
      </c>
      <c r="D268" s="16">
        <f>VLOOKUP(Vlookup!D238,'CDCM Forecast Data'!$A$14:$I$271,5,FALSE)</f>
        <v>0.3442747882396458</v>
      </c>
      <c r="E268" s="10"/>
      <c r="F268"/>
      <c r="G268"/>
      <c r="H268"/>
      <c r="I268"/>
      <c r="J268"/>
      <c r="K268"/>
    </row>
    <row r="269" spans="1:11" ht="15">
      <c r="A269" s="11" t="s">
        <v>95</v>
      </c>
      <c r="B269" s="16">
        <f>VLOOKUP(Vlookup!B239,'CDCM Forecast Data'!$A$14:$I$271,5,FALSE)</f>
        <v>9.7838540209257197E-2</v>
      </c>
      <c r="C269" s="16">
        <f>VLOOKUP(Vlookup!C239,'CDCM Forecast Data'!$A$14:$I$271,5,FALSE)</f>
        <v>0.65520507591280774</v>
      </c>
      <c r="D269" s="16">
        <f>VLOOKUP(Vlookup!D239,'CDCM Forecast Data'!$A$14:$I$271,5,FALSE)</f>
        <v>0.24695638387793503</v>
      </c>
      <c r="E269" s="10" t="s">
        <v>262</v>
      </c>
      <c r="F269"/>
      <c r="G269"/>
      <c r="H269"/>
      <c r="I269"/>
      <c r="J269"/>
      <c r="K269"/>
    </row>
    <row r="270" spans="1:11" ht="15">
      <c r="A270" s="11" t="s">
        <v>130</v>
      </c>
      <c r="B270" s="16">
        <f>VLOOKUP(Vlookup!B240,'CDCM Forecast Data'!$A$14:$I$271,5,FALSE)</f>
        <v>8.9699691483682498E-5</v>
      </c>
      <c r="C270" s="16">
        <f>VLOOKUP(Vlookup!C240,'CDCM Forecast Data'!$A$14:$I$271,5,FALSE)</f>
        <v>0.17771579837582263</v>
      </c>
      <c r="D270" s="16">
        <f>VLOOKUP(Vlookup!D240,'CDCM Forecast Data'!$A$14:$I$271,5,FALSE)</f>
        <v>0.82219450193269361</v>
      </c>
      <c r="E270" s="10" t="s">
        <v>262</v>
      </c>
      <c r="F270"/>
      <c r="G270"/>
      <c r="H270"/>
      <c r="I270"/>
      <c r="J270"/>
      <c r="K270"/>
    </row>
    <row r="271" spans="1:11" ht="15">
      <c r="A271" s="11" t="s">
        <v>96</v>
      </c>
      <c r="B271" s="16">
        <f>VLOOKUP(Vlookup!B241,'CDCM Forecast Data'!$A$14:$I$271,5,FALSE)</f>
        <v>0.10118214285683957</v>
      </c>
      <c r="C271" s="16">
        <f>VLOOKUP(Vlookup!C241,'CDCM Forecast Data'!$A$14:$I$271,5,FALSE)</f>
        <v>0.66091965296388588</v>
      </c>
      <c r="D271" s="16">
        <f>VLOOKUP(Vlookup!D241,'CDCM Forecast Data'!$A$14:$I$271,5,FALSE)</f>
        <v>0.23789820417927454</v>
      </c>
      <c r="E271" s="10" t="s">
        <v>262</v>
      </c>
      <c r="F271"/>
      <c r="G271"/>
      <c r="H271"/>
      <c r="I271"/>
      <c r="J271"/>
      <c r="K271"/>
    </row>
    <row r="272" spans="1:11" ht="15">
      <c r="A272" s="11" t="s">
        <v>97</v>
      </c>
      <c r="B272" s="16">
        <f>VLOOKUP(Vlookup!B242,'CDCM Forecast Data'!$A$14:$I$271,5,FALSE)</f>
        <v>9.9173095445870232E-2</v>
      </c>
      <c r="C272" s="16">
        <f>VLOOKUP(Vlookup!C242,'CDCM Forecast Data'!$A$14:$I$271,5,FALSE)</f>
        <v>0.66646341204630843</v>
      </c>
      <c r="D272" s="16">
        <f>VLOOKUP(Vlookup!D242,'CDCM Forecast Data'!$A$14:$I$271,5,FALSE)</f>
        <v>0.23436349250782129</v>
      </c>
      <c r="E272" s="10" t="s">
        <v>262</v>
      </c>
      <c r="F272"/>
      <c r="G272"/>
      <c r="H272"/>
      <c r="I272"/>
      <c r="J272"/>
      <c r="K272"/>
    </row>
    <row r="273" spans="1:11" ht="15">
      <c r="A273" s="11" t="s">
        <v>110</v>
      </c>
      <c r="B273" s="16">
        <f>VLOOKUP(Vlookup!B243,'CDCM Forecast Data'!$A$14:$I$271,5,FALSE)</f>
        <v>9.9001646523263931E-2</v>
      </c>
      <c r="C273" s="16">
        <f>VLOOKUP(Vlookup!C243,'CDCM Forecast Data'!$A$14:$I$271,5,FALSE)</f>
        <v>0.69464097956994497</v>
      </c>
      <c r="D273" s="16">
        <f>VLOOKUP(Vlookup!D243,'CDCM Forecast Data'!$A$14:$I$271,5,FALSE)</f>
        <v>0.2063573739067911</v>
      </c>
      <c r="E273" s="10"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11" t="s">
        <v>93</v>
      </c>
      <c r="B278" s="16">
        <f>VLOOKUP(Vlookup!B251,'CDCM Forecast Data'!$A$14:$I$271,8,FALSE)</f>
        <v>0</v>
      </c>
      <c r="C278" s="16">
        <f>VLOOKUP(Vlookup!C251,'CDCM Forecast Data'!$A$14:$I$271,8,FALSE)</f>
        <v>3.4830602664601619E-2</v>
      </c>
      <c r="D278" s="16">
        <f>VLOOKUP(Vlookup!D251,'CDCM Forecast Data'!$A$14:$I$271,8,FALSE)</f>
        <v>0.96516939733539842</v>
      </c>
      <c r="E278" s="10" t="s">
        <v>262</v>
      </c>
      <c r="F278"/>
      <c r="G278"/>
      <c r="H278"/>
      <c r="I278"/>
      <c r="J278"/>
      <c r="K278"/>
    </row>
    <row r="279" spans="1:11" ht="15">
      <c r="A279" s="11" t="s">
        <v>95</v>
      </c>
      <c r="B279" s="16">
        <f>VLOOKUP(Vlookup!B252,'CDCM Forecast Data'!$A$14:$I$271,8,FALSE)</f>
        <v>1.6556870442601376E-8</v>
      </c>
      <c r="C279" s="16">
        <f>VLOOKUP(Vlookup!C252,'CDCM Forecast Data'!$A$14:$I$271,8,FALSE)</f>
        <v>5.869529563813064E-2</v>
      </c>
      <c r="D279" s="16">
        <f>VLOOKUP(Vlookup!D252,'CDCM Forecast Data'!$A$14:$I$271,8,FALSE)</f>
        <v>0.94130468780499887</v>
      </c>
      <c r="E279" s="10" t="s">
        <v>262</v>
      </c>
      <c r="F279"/>
      <c r="G279"/>
      <c r="H279"/>
      <c r="I279"/>
      <c r="J279"/>
      <c r="K279"/>
    </row>
    <row r="280" spans="1:11" ht="15">
      <c r="A280" s="11" t="s">
        <v>96</v>
      </c>
      <c r="B280" s="16">
        <f>VLOOKUP(Vlookup!B253,'CDCM Forecast Data'!$A$14:$I$271,8,FALSE)</f>
        <v>0</v>
      </c>
      <c r="C280" s="16">
        <f>VLOOKUP(Vlookup!C253,'CDCM Forecast Data'!$A$14:$I$271,8,FALSE)</f>
        <v>5.1301871668323713E-3</v>
      </c>
      <c r="D280" s="16">
        <f>VLOOKUP(Vlookup!D253,'CDCM Forecast Data'!$A$14:$I$271,8,FALSE)</f>
        <v>0.99486981283316778</v>
      </c>
      <c r="E280" s="10" t="s">
        <v>262</v>
      </c>
      <c r="F280"/>
      <c r="G280"/>
      <c r="H280"/>
      <c r="I280"/>
      <c r="J280"/>
      <c r="K280"/>
    </row>
    <row r="281" spans="1:11" ht="15">
      <c r="A281" s="11" t="s">
        <v>97</v>
      </c>
      <c r="B281" s="16">
        <f>VLOOKUP(Vlookup!B254,'CDCM Forecast Data'!$A$14:$I$271,8,FALSE)</f>
        <v>0</v>
      </c>
      <c r="C281" s="16">
        <f>VLOOKUP(Vlookup!C254,'CDCM Forecast Data'!$A$14:$I$271,8,FALSE)</f>
        <v>3.213521583597959E-3</v>
      </c>
      <c r="D281" s="16">
        <f>VLOOKUP(Vlookup!D254,'CDCM Forecast Data'!$A$14:$I$271,8,FALSE)</f>
        <v>0.99678647841640211</v>
      </c>
      <c r="E281" s="10" t="s">
        <v>262</v>
      </c>
      <c r="F281"/>
      <c r="G281"/>
      <c r="H281"/>
      <c r="I281"/>
      <c r="J281"/>
      <c r="K281"/>
    </row>
    <row r="282" spans="1:11" ht="15">
      <c r="A282" s="11" t="s">
        <v>110</v>
      </c>
      <c r="B282" s="16">
        <f>VLOOKUP(Vlookup!B255,'CDCM Forecast Data'!$A$14:$I$271,8,FALSE)</f>
        <v>0</v>
      </c>
      <c r="C282" s="16">
        <f>VLOOKUP(Vlookup!C255,'CDCM Forecast Data'!$A$14:$I$271,8,FALSE)</f>
        <v>4.2256521599561099E-3</v>
      </c>
      <c r="D282" s="16">
        <f>VLOOKUP(Vlookup!D255,'CDCM Forecast Data'!$A$14:$I$271,8,FALSE)</f>
        <v>0.99577434784004382</v>
      </c>
      <c r="E282" s="10"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11" t="s">
        <v>131</v>
      </c>
      <c r="B287" s="16">
        <f>VLOOKUP(Vlookup!B260,'CDCM Forecast Data'!$A$14:$I$271,8,FALSE)</f>
        <v>2.2070015220700151E-2</v>
      </c>
      <c r="C287" s="16">
        <f>VLOOKUP(Vlookup!C260,'CDCM Forecast Data'!$A$14:$I$271,8,FALSE)</f>
        <v>0.48085996955859972</v>
      </c>
      <c r="D287" s="16">
        <f>VLOOKUP(Vlookup!D260,'CDCM Forecast Data'!$A$14:$I$271,8,FALSE)</f>
        <v>0.49707001522070016</v>
      </c>
      <c r="E287" s="10" t="s">
        <v>262</v>
      </c>
      <c r="F287"/>
      <c r="G287"/>
      <c r="H287"/>
      <c r="I287"/>
      <c r="J287"/>
      <c r="K287"/>
    </row>
    <row r="288" spans="1:11" ht="15">
      <c r="A288" s="11" t="s">
        <v>132</v>
      </c>
      <c r="B288" s="16">
        <f>VLOOKUP(Vlookup!B261,'CDCM Forecast Data'!$A$14:$I$271,8,FALSE)</f>
        <v>4.3296502490334364E-2</v>
      </c>
      <c r="C288" s="16">
        <f>VLOOKUP(Vlookup!C261,'CDCM Forecast Data'!$A$14:$I$271,8,FALSE)</f>
        <v>0.19352712515009221</v>
      </c>
      <c r="D288" s="16">
        <f>VLOOKUP(Vlookup!D261,'CDCM Forecast Data'!$A$14:$I$271,8,FALSE)</f>
        <v>0.76317637235957336</v>
      </c>
      <c r="E288" s="10" t="s">
        <v>262</v>
      </c>
      <c r="F288"/>
      <c r="G288"/>
      <c r="H288"/>
      <c r="I288"/>
      <c r="J288"/>
      <c r="K288"/>
    </row>
    <row r="289" spans="1:11" ht="15">
      <c r="A289" s="11" t="s">
        <v>133</v>
      </c>
      <c r="B289" s="16">
        <f>VLOOKUP(Vlookup!B262,'CDCM Forecast Data'!$A$14:$I$271,8,FALSE)</f>
        <v>7.5341202673786759E-2</v>
      </c>
      <c r="C289" s="16">
        <f>VLOOKUP(Vlookup!C262,'CDCM Forecast Data'!$A$14:$I$271,8,FALSE)</f>
        <v>0.32694556247045986</v>
      </c>
      <c r="D289" s="16">
        <f>VLOOKUP(Vlookup!D262,'CDCM Forecast Data'!$A$14:$I$271,8,FALSE)</f>
        <v>0.59771323485575345</v>
      </c>
      <c r="E289" s="10" t="s">
        <v>262</v>
      </c>
      <c r="F289"/>
      <c r="G289"/>
      <c r="H289"/>
      <c r="I289"/>
      <c r="J289"/>
      <c r="K289"/>
    </row>
    <row r="290" spans="1:11" ht="15">
      <c r="A290" s="11" t="s">
        <v>134</v>
      </c>
      <c r="B290" s="16">
        <f>VLOOKUP(Vlookup!B263,'CDCM Forecast Data'!$A$14:$I$271,8,FALSE)</f>
        <v>3.3590963197314191E-3</v>
      </c>
      <c r="C290" s="16">
        <f>VLOOKUP(Vlookup!C263,'CDCM Forecast Data'!$A$14:$I$271,8,FALSE)</f>
        <v>0.7385027664723034</v>
      </c>
      <c r="D290" s="16">
        <f>VLOOKUP(Vlookup!D263,'CDCM Forecast Data'!$A$14:$I$271,8,FALSE)</f>
        <v>0.25813813720796519</v>
      </c>
      <c r="E290" s="10"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11" t="s">
        <v>243</v>
      </c>
      <c r="B297" s="19">
        <f>VLOOKUP(Vlookup!B270,'CDCM Forecast Data'!$A$14:$I$271,8,FALSE)</f>
        <v>190</v>
      </c>
      <c r="C297" s="19">
        <f>VLOOKUP(Vlookup!C270,'CDCM Forecast Data'!$A$14:$I$271,8,FALSE)</f>
        <v>4233</v>
      </c>
      <c r="D297" s="19">
        <f>VLOOKUP(Vlookup!D270,'CDCM Forecast Data'!$A$14:$I$271,8,FALSE)</f>
        <v>4361</v>
      </c>
      <c r="E297" s="10"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11" t="s">
        <v>243</v>
      </c>
      <c r="B304" s="19">
        <f>VLOOKUP(Vlookup!B277,'CDCM Forecast Data'!$A$14:$I$271,8,FALSE)</f>
        <v>655</v>
      </c>
      <c r="C304" s="19">
        <f>VLOOKUP(Vlookup!C277,'CDCM Forecast Data'!$A$14:$I$271,8,FALSE)</f>
        <v>3768</v>
      </c>
      <c r="D304" s="19">
        <f>VLOOKUP(Vlookup!D277,'CDCM Forecast Data'!$A$14:$I$271,8,FALSE)</f>
        <v>4361</v>
      </c>
      <c r="E304" s="10"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20"/>
      <c r="C309" s="20"/>
      <c r="D309" s="20"/>
      <c r="E309"/>
      <c r="F309"/>
      <c r="G309"/>
      <c r="H309"/>
      <c r="I309"/>
      <c r="J309"/>
      <c r="K309"/>
    </row>
    <row r="310" spans="1:11" ht="15">
      <c r="A310"/>
      <c r="B310" s="3" t="s">
        <v>233</v>
      </c>
      <c r="C310" s="3" t="s">
        <v>234</v>
      </c>
      <c r="D310" s="3" t="s">
        <v>235</v>
      </c>
      <c r="E310" s="3" t="s">
        <v>238</v>
      </c>
      <c r="F310"/>
      <c r="G310"/>
      <c r="H310"/>
      <c r="I310"/>
      <c r="J310"/>
      <c r="K310"/>
    </row>
    <row r="311" spans="1:11" ht="15">
      <c r="A311" s="11" t="s">
        <v>60</v>
      </c>
      <c r="B311" s="16">
        <f>VLOOKUP(Vlookup!B283,'CDCM Forecast Data'!$A$14:$I$271,8,FALSE)</f>
        <v>0.62879119434947672</v>
      </c>
      <c r="C311" s="16">
        <f>VLOOKUP(Vlookup!C283,'CDCM Forecast Data'!$A$14:$I$271,8,FALSE)</f>
        <v>0.36482447333707807</v>
      </c>
      <c r="D311" s="16">
        <f>VLOOKUP(Vlookup!D283,'CDCM Forecast Data'!$A$14:$I$271,8,FALSE)</f>
        <v>6.3843323134452623E-3</v>
      </c>
      <c r="E311" s="16">
        <f>VLOOKUP(Vlookup!E283,'CDCM Forecast Data'!$A$14:$I$271,8,FALSE)</f>
        <v>0.39570245808243315</v>
      </c>
      <c r="F311" s="10" t="s">
        <v>262</v>
      </c>
      <c r="G311"/>
      <c r="H311"/>
      <c r="I311"/>
      <c r="J311"/>
      <c r="K311"/>
    </row>
    <row r="312" spans="1:11" ht="15">
      <c r="A312" s="11" t="s">
        <v>61</v>
      </c>
      <c r="B312" s="16">
        <f>VLOOKUP(Vlookup!B284,'CDCM Forecast Data'!$A$14:$I$271,8,FALSE)</f>
        <v>0.62174924523091402</v>
      </c>
      <c r="C312" s="16">
        <f>VLOOKUP(Vlookup!C284,'CDCM Forecast Data'!$A$14:$I$271,8,FALSE)</f>
        <v>0.3027754828809584</v>
      </c>
      <c r="D312" s="16">
        <f>VLOOKUP(Vlookup!D284,'CDCM Forecast Data'!$A$14:$I$271,8,FALSE)</f>
        <v>7.547527188812754E-2</v>
      </c>
      <c r="E312" s="16">
        <f>VLOOKUP(Vlookup!E284,'CDCM Forecast Data'!$A$14:$I$271,8,FALSE)</f>
        <v>0.56604499762027283</v>
      </c>
      <c r="F312" s="10" t="s">
        <v>262</v>
      </c>
      <c r="G312"/>
      <c r="H312"/>
      <c r="I312"/>
      <c r="J312"/>
      <c r="K312"/>
    </row>
    <row r="313" spans="1:11" ht="15">
      <c r="A313" s="11" t="s">
        <v>62</v>
      </c>
      <c r="B313" s="16">
        <f>VLOOKUP(Vlookup!B285,'CDCM Forecast Data'!$A$14:$I$271,8,FALSE)</f>
        <v>0.62174924523091402</v>
      </c>
      <c r="C313" s="16">
        <f>VLOOKUP(Vlookup!C285,'CDCM Forecast Data'!$A$14:$I$271,8,FALSE)</f>
        <v>0.3027754828809584</v>
      </c>
      <c r="D313" s="16">
        <f>VLOOKUP(Vlookup!D285,'CDCM Forecast Data'!$A$14:$I$271,8,FALSE)</f>
        <v>7.547527188812754E-2</v>
      </c>
      <c r="E313" s="16">
        <f>VLOOKUP(Vlookup!E285,'CDCM Forecast Data'!$A$14:$I$271,8,FALSE)</f>
        <v>0.56604499762027283</v>
      </c>
      <c r="F313" s="10" t="s">
        <v>262</v>
      </c>
      <c r="G313"/>
      <c r="H313"/>
      <c r="I313"/>
      <c r="J313"/>
      <c r="K313"/>
    </row>
    <row r="314" spans="1:11" ht="15">
      <c r="A314" s="11" t="s">
        <v>63</v>
      </c>
      <c r="B314" s="16">
        <f>VLOOKUP(Vlookup!B286,'CDCM Forecast Data'!$A$14:$I$271,8,FALSE)</f>
        <v>0.57235676252107026</v>
      </c>
      <c r="C314" s="16">
        <f>VLOOKUP(Vlookup!C286,'CDCM Forecast Data'!$A$14:$I$271,8,FALSE)</f>
        <v>0.37197918727209278</v>
      </c>
      <c r="D314" s="16">
        <f>VLOOKUP(Vlookup!D286,'CDCM Forecast Data'!$A$14:$I$271,8,FALSE)</f>
        <v>5.5664050206836936E-2</v>
      </c>
      <c r="E314" s="16">
        <f>VLOOKUP(Vlookup!E286,'CDCM Forecast Data'!$A$14:$I$271,8,FALSE)</f>
        <v>0.52685467635274164</v>
      </c>
      <c r="F314" s="10" t="s">
        <v>262</v>
      </c>
      <c r="G314"/>
      <c r="H314"/>
      <c r="I314"/>
      <c r="J314"/>
      <c r="K314"/>
    </row>
    <row r="315" spans="1:11" ht="15">
      <c r="A315" s="11" t="s">
        <v>64</v>
      </c>
      <c r="B315" s="16">
        <f>VLOOKUP(Vlookup!B287,'CDCM Forecast Data'!$A$14:$I$271,8,FALSE)</f>
        <v>0.57235676252107026</v>
      </c>
      <c r="C315" s="16">
        <f>VLOOKUP(Vlookup!C287,'CDCM Forecast Data'!$A$14:$I$271,8,FALSE)</f>
        <v>0.37197918727209278</v>
      </c>
      <c r="D315" s="16">
        <f>VLOOKUP(Vlookup!D287,'CDCM Forecast Data'!$A$14:$I$271,8,FALSE)</f>
        <v>5.5664050206836936E-2</v>
      </c>
      <c r="E315" s="16">
        <f>VLOOKUP(Vlookup!E287,'CDCM Forecast Data'!$A$14:$I$271,8,FALSE)</f>
        <v>0.52685467635274164</v>
      </c>
      <c r="F315" s="10" t="s">
        <v>262</v>
      </c>
      <c r="G315"/>
      <c r="H315"/>
      <c r="I315"/>
      <c r="J315"/>
      <c r="K315"/>
    </row>
    <row r="316" spans="1:11" ht="15">
      <c r="A316" s="11" t="s">
        <v>69</v>
      </c>
      <c r="B316" s="16">
        <f>VLOOKUP(Vlookup!B288,'CDCM Forecast Data'!$A$14:$I$271,8,FALSE)</f>
        <v>0.62174924523091402</v>
      </c>
      <c r="C316" s="16">
        <f>VLOOKUP(Vlookup!C288,'CDCM Forecast Data'!$A$14:$I$271,8,FALSE)</f>
        <v>0.3027754828809584</v>
      </c>
      <c r="D316" s="16">
        <f>VLOOKUP(Vlookup!D288,'CDCM Forecast Data'!$A$14:$I$271,8,FALSE)</f>
        <v>7.547527188812754E-2</v>
      </c>
      <c r="E316" s="16">
        <f>VLOOKUP(Vlookup!E288,'CDCM Forecast Data'!$A$14:$I$271,8,FALSE)</f>
        <v>0.56604499762027283</v>
      </c>
      <c r="F316" s="10" t="s">
        <v>262</v>
      </c>
      <c r="G316"/>
      <c r="H316"/>
      <c r="I316"/>
      <c r="J316"/>
      <c r="K316"/>
    </row>
    <row r="317" spans="1:11" ht="15">
      <c r="A317" s="11" t="s">
        <v>65</v>
      </c>
      <c r="B317" s="16">
        <f>VLOOKUP(Vlookup!B289,'CDCM Forecast Data'!$A$14:$I$271,8,FALSE)</f>
        <v>0.57235676252107026</v>
      </c>
      <c r="C317" s="16">
        <f>VLOOKUP(Vlookup!C289,'CDCM Forecast Data'!$A$14:$I$271,8,FALSE)</f>
        <v>0.37197918727209278</v>
      </c>
      <c r="D317" s="16">
        <f>VLOOKUP(Vlookup!D289,'CDCM Forecast Data'!$A$14:$I$271,8,FALSE)</f>
        <v>5.5664050206836936E-2</v>
      </c>
      <c r="E317" s="16">
        <f>VLOOKUP(Vlookup!E289,'CDCM Forecast Data'!$A$14:$I$271,8,FALSE)</f>
        <v>0.52685467635274164</v>
      </c>
      <c r="F317" s="10" t="s">
        <v>262</v>
      </c>
      <c r="G317"/>
      <c r="H317"/>
      <c r="I317"/>
      <c r="J317"/>
      <c r="K317"/>
    </row>
    <row r="318" spans="1:11" ht="15">
      <c r="A318" s="11" t="s">
        <v>66</v>
      </c>
      <c r="B318" s="16">
        <f>VLOOKUP(Vlookup!B290,'CDCM Forecast Data'!$A$14:$I$271,8,FALSE)</f>
        <v>0.57235676252107026</v>
      </c>
      <c r="C318" s="16">
        <f>VLOOKUP(Vlookup!C290,'CDCM Forecast Data'!$A$14:$I$271,8,FALSE)</f>
        <v>0.37197918727209278</v>
      </c>
      <c r="D318" s="16">
        <f>VLOOKUP(Vlookup!D290,'CDCM Forecast Data'!$A$14:$I$271,8,FALSE)</f>
        <v>5.5664050206836936E-2</v>
      </c>
      <c r="E318" s="16">
        <f>VLOOKUP(Vlookup!E290,'CDCM Forecast Data'!$A$14:$I$271,8,FALSE)</f>
        <v>0.52685467635274164</v>
      </c>
      <c r="F318" s="10" t="s">
        <v>262</v>
      </c>
      <c r="G318"/>
      <c r="H318"/>
      <c r="I318"/>
      <c r="J318"/>
      <c r="K318"/>
    </row>
    <row r="319" spans="1:11" ht="15">
      <c r="A319" s="11" t="s">
        <v>67</v>
      </c>
      <c r="B319" s="16">
        <f>VLOOKUP(Vlookup!B291,'CDCM Forecast Data'!$A$14:$I$271,8,FALSE)</f>
        <v>0.57235676252107026</v>
      </c>
      <c r="C319" s="16">
        <f>VLOOKUP(Vlookup!C291,'CDCM Forecast Data'!$A$14:$I$271,8,FALSE)</f>
        <v>0.37197918727209278</v>
      </c>
      <c r="D319" s="16">
        <f>VLOOKUP(Vlookup!D291,'CDCM Forecast Data'!$A$14:$I$271,8,FALSE)</f>
        <v>5.5664050206836936E-2</v>
      </c>
      <c r="E319" s="16">
        <f>VLOOKUP(Vlookup!E291,'CDCM Forecast Data'!$A$14:$I$271,8,FALSE)</f>
        <v>0.52685467635274164</v>
      </c>
      <c r="F319" s="10" t="s">
        <v>262</v>
      </c>
      <c r="G319"/>
      <c r="H319"/>
      <c r="I319"/>
      <c r="J319"/>
      <c r="K319"/>
    </row>
    <row r="320" spans="1:11" ht="15">
      <c r="A320"/>
      <c r="B320"/>
      <c r="C320"/>
      <c r="D320"/>
      <c r="E320"/>
      <c r="F320"/>
      <c r="G320"/>
      <c r="H320"/>
      <c r="I320"/>
      <c r="J320"/>
      <c r="K320"/>
    </row>
    <row r="321" spans="1:11" ht="19.5">
      <c r="A321" s="1" t="s">
        <v>1634</v>
      </c>
      <c r="B321"/>
      <c r="C321"/>
      <c r="D321"/>
      <c r="E321"/>
      <c r="F321"/>
      <c r="G321"/>
      <c r="H321"/>
      <c r="I321"/>
      <c r="J321"/>
      <c r="K321"/>
    </row>
    <row r="322" spans="1:11" ht="15">
      <c r="A322" s="2" t="s">
        <v>1633</v>
      </c>
      <c r="B322"/>
      <c r="C322"/>
      <c r="D322"/>
      <c r="E322"/>
      <c r="F322"/>
      <c r="G322"/>
      <c r="H322"/>
      <c r="I322"/>
      <c r="J322"/>
      <c r="K322"/>
    </row>
    <row r="323" spans="1:11" ht="15">
      <c r="A323"/>
      <c r="B323"/>
      <c r="C323"/>
      <c r="D323"/>
      <c r="E323"/>
      <c r="F323"/>
      <c r="G323"/>
      <c r="H323"/>
      <c r="I323"/>
      <c r="J323"/>
      <c r="K323"/>
    </row>
    <row r="324" spans="1:11" ht="30">
      <c r="A324"/>
      <c r="B324" s="3" t="s">
        <v>1632</v>
      </c>
      <c r="C324"/>
      <c r="D324"/>
      <c r="E324"/>
      <c r="F324"/>
      <c r="G324"/>
      <c r="H324"/>
      <c r="I324"/>
      <c r="J324"/>
      <c r="K324"/>
    </row>
    <row r="325" spans="1:11" ht="15">
      <c r="A325" s="11" t="s">
        <v>1632</v>
      </c>
      <c r="B325" s="14">
        <f>1000000*'Table 1'!I47</f>
        <v>230904308.14469761</v>
      </c>
      <c r="C325" s="10"/>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11" t="s">
        <v>251</v>
      </c>
      <c r="B332" s="4">
        <f>VLOOKUP(Vlookup!B298,'CDCM Forecast Data'!$A$14:$I$271,8,FALSE)</f>
        <v>0.27489787150128192</v>
      </c>
      <c r="C332" s="4">
        <f>VLOOKUP(Vlookup!C298,'CDCM Forecast Data'!$A$14:$I$271,8,FALSE)</f>
        <v>0.27489787150128192</v>
      </c>
      <c r="D332" s="4">
        <f>VLOOKUP(Vlookup!D298,'CDCM Forecast Data'!$A$14:$I$271,8,FALSE)</f>
        <v>0.27489787150128192</v>
      </c>
      <c r="E332" s="4">
        <f>VLOOKUP(Vlookup!E298,'CDCM Forecast Data'!$A$14:$I$271,8,FALSE)</f>
        <v>0.27489787150128192</v>
      </c>
      <c r="F332" s="4">
        <f>VLOOKUP(Vlookup!F298,'CDCM Forecast Data'!$A$14:$I$271,8,FALSE)</f>
        <v>0.27489787150128192</v>
      </c>
      <c r="G332" s="4">
        <f>VLOOKUP(Vlookup!G298,'CDCM Forecast Data'!$A$14:$I$271,8,FALSE)</f>
        <v>0.27489787150128192</v>
      </c>
      <c r="H332" s="4">
        <f>VLOOKUP(Vlookup!H298,'CDCM Forecast Data'!$A$14:$I$271,8,FALSE)</f>
        <v>0.27489787150128192</v>
      </c>
      <c r="I332" s="4">
        <f>VLOOKUP(Vlookup!I298,'CDCM Forecast Data'!$A$14:$I$271,8,FALSE)</f>
        <v>0.27489787150128192</v>
      </c>
      <c r="J332" s="4">
        <f>VLOOKUP(Vlookup!J298,'CDCM Forecast Data'!$A$14:$I$271,8,FALSE)</f>
        <v>0.27489787150128192</v>
      </c>
      <c r="K332" s="10"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dimension ref="A1:K332"/>
  <sheetViews>
    <sheetView showGridLines="0" workbookViewId="0">
      <selection activeCell="A4" sqref="A4:K332"/>
    </sheetView>
  </sheetViews>
  <sheetFormatPr defaultColWidth="8.85546875" defaultRowHeight="12.75"/>
  <cols>
    <col min="1" max="1" width="50.7109375" style="43" customWidth="1"/>
    <col min="2" max="251" width="20.7109375" style="43" customWidth="1"/>
    <col min="252" max="16384" width="8.85546875" style="43"/>
  </cols>
  <sheetData>
    <row r="1" spans="1:11" ht="19.5">
      <c r="A1" s="1" t="s">
        <v>1558</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11" t="s">
        <v>4</v>
      </c>
      <c r="B7" s="13">
        <f>VLOOKUP(Vlookup!B7,'CDCM Forecast Data'!$A$14:$I$271,9,FALSE)</f>
        <v>0</v>
      </c>
      <c r="C7" s="13">
        <f>VLOOKUP(Vlookup!C7,'CDCM Forecast Data'!$A$14:$I$271,9,FALSE)</f>
        <v>0</v>
      </c>
      <c r="D7" s="13">
        <f>VLOOKUP(Vlookup!D7,'CDCM Forecast Data'!$A$14:$I$271,9,FALSE)</f>
        <v>0</v>
      </c>
      <c r="E7" s="10"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1471</v>
      </c>
      <c r="G13"/>
      <c r="H13"/>
      <c r="I13"/>
      <c r="J13"/>
      <c r="K13"/>
    </row>
    <row r="14" spans="1:11" ht="15">
      <c r="A14" s="11" t="s">
        <v>52</v>
      </c>
      <c r="B14" s="16">
        <f>VLOOKUP(Vlookup!B14,'CDCM Forecast Data'!$A$14:$I$271,9,FALSE)</f>
        <v>5.6000000000000001E-2</v>
      </c>
      <c r="C14" s="14">
        <f>VLOOKUP(Vlookup!C14,'CDCM Forecast Data'!$A$14:$I$271,9,FALSE)</f>
        <v>40</v>
      </c>
      <c r="D14" s="5"/>
      <c r="E14" s="4">
        <f>VLOOKUP(Vlookup!E14,'CDCM Forecast Data'!$A$14:$I$271,9,FALSE)</f>
        <v>0.95</v>
      </c>
      <c r="F14" s="14">
        <f>VLOOKUP(Vlookup!F14,'CDCM Forecast Data'!$A$14:$I$271,9,FALSE)</f>
        <v>366</v>
      </c>
      <c r="G14" s="10"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11" t="s">
        <v>60</v>
      </c>
      <c r="B24" s="16">
        <f>VLOOKUP(Vlookup!B24,'CDCM Forecast Data'!$A$14:$I$271,9,FALSE)</f>
        <v>6.3829787234042507E-2</v>
      </c>
      <c r="C24" s="10" t="s">
        <v>262</v>
      </c>
      <c r="D24"/>
      <c r="E24"/>
      <c r="F24"/>
      <c r="G24"/>
      <c r="H24"/>
      <c r="I24"/>
      <c r="J24"/>
      <c r="K24"/>
    </row>
    <row r="25" spans="1:11" ht="15">
      <c r="A25" s="11" t="s">
        <v>61</v>
      </c>
      <c r="B25" s="16">
        <f>VLOOKUP(Vlookup!B25,'CDCM Forecast Data'!$A$14:$I$271,9,FALSE)</f>
        <v>5.2999999999999999E-2</v>
      </c>
      <c r="C25" s="10" t="s">
        <v>262</v>
      </c>
      <c r="D25"/>
      <c r="E25"/>
      <c r="F25"/>
      <c r="G25"/>
      <c r="H25"/>
      <c r="I25"/>
      <c r="J25"/>
      <c r="K25"/>
    </row>
    <row r="26" spans="1:11" ht="15">
      <c r="A26" s="11" t="s">
        <v>62</v>
      </c>
      <c r="B26" s="8"/>
      <c r="C26" s="10" t="s">
        <v>262</v>
      </c>
      <c r="D26"/>
      <c r="E26"/>
      <c r="F26"/>
      <c r="G26"/>
      <c r="H26"/>
      <c r="I26"/>
      <c r="J26"/>
      <c r="K26"/>
    </row>
    <row r="27" spans="1:11" ht="15">
      <c r="A27" s="11" t="s">
        <v>63</v>
      </c>
      <c r="B27" s="16">
        <f>VLOOKUP(Vlookup!B27,'CDCM Forecast Data'!$A$14:$I$271,9,FALSE)</f>
        <v>9.9000000000000005E-2</v>
      </c>
      <c r="C27" s="10" t="s">
        <v>262</v>
      </c>
      <c r="D27"/>
      <c r="E27"/>
      <c r="F27"/>
      <c r="G27"/>
      <c r="H27"/>
      <c r="I27"/>
      <c r="J27"/>
      <c r="K27"/>
    </row>
    <row r="28" spans="1:11" ht="15">
      <c r="A28" s="11" t="s">
        <v>64</v>
      </c>
      <c r="B28" s="8"/>
      <c r="C28" s="10" t="s">
        <v>262</v>
      </c>
      <c r="D28"/>
      <c r="E28"/>
      <c r="F28"/>
      <c r="G28"/>
      <c r="H28"/>
      <c r="I28"/>
      <c r="J28"/>
      <c r="K28"/>
    </row>
    <row r="29" spans="1:11" ht="15">
      <c r="A29" s="11" t="s">
        <v>65</v>
      </c>
      <c r="B29" s="16">
        <f>VLOOKUP(Vlookup!B29,'CDCM Forecast Data'!$A$14:$I$271,9,FALSE)</f>
        <v>0.37</v>
      </c>
      <c r="C29" s="10" t="s">
        <v>262</v>
      </c>
      <c r="D29"/>
      <c r="E29"/>
      <c r="F29"/>
      <c r="G29"/>
      <c r="H29"/>
      <c r="I29"/>
      <c r="J29"/>
      <c r="K29"/>
    </row>
    <row r="30" spans="1:11" ht="15">
      <c r="A30" s="11" t="s">
        <v>66</v>
      </c>
      <c r="B30" s="8"/>
      <c r="C30" s="10" t="s">
        <v>262</v>
      </c>
      <c r="D30"/>
      <c r="E30"/>
      <c r="F30"/>
      <c r="G30"/>
      <c r="H30"/>
      <c r="I30"/>
      <c r="J30"/>
      <c r="K30"/>
    </row>
    <row r="31" spans="1:11" ht="15">
      <c r="A31" s="11" t="s">
        <v>67</v>
      </c>
      <c r="B31" s="8"/>
      <c r="C31" s="10"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11" t="s">
        <v>64</v>
      </c>
      <c r="B36" s="16">
        <f>VLOOKUP(Vlookup!B36,'CDCM Forecast Data'!$A$14:$I$271,9,FALSE)</f>
        <v>0.3</v>
      </c>
      <c r="C36" s="10"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11" t="s">
        <v>71</v>
      </c>
      <c r="B41" s="14">
        <f>VLOOKUP(Vlookup!B41,'CDCM Forecast Data'!$A$14:$I$271,9,FALSE)</f>
        <v>500</v>
      </c>
      <c r="C41" s="10"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11" t="s">
        <v>61</v>
      </c>
      <c r="B46" s="14">
        <f>VLOOKUP(Vlookup!B46,'CDCM Forecast Data'!$A$14:$I$271,9,FALSE)</f>
        <v>142108265.07994723</v>
      </c>
      <c r="C46" s="10" t="s">
        <v>262</v>
      </c>
      <c r="D46"/>
      <c r="E46"/>
      <c r="F46"/>
      <c r="G46"/>
      <c r="H46"/>
      <c r="I46"/>
      <c r="J46"/>
      <c r="K46"/>
    </row>
    <row r="47" spans="1:11" ht="15">
      <c r="A47" s="11" t="s">
        <v>62</v>
      </c>
      <c r="B47" s="14">
        <f>VLOOKUP(Vlookup!B47,'CDCM Forecast Data'!$A$14:$I$271,9,FALSE)</f>
        <v>12551806.595453963</v>
      </c>
      <c r="C47" s="10" t="s">
        <v>262</v>
      </c>
      <c r="D47"/>
      <c r="E47"/>
      <c r="F47"/>
      <c r="G47"/>
      <c r="H47"/>
      <c r="I47"/>
      <c r="J47"/>
      <c r="K47"/>
    </row>
    <row r="48" spans="1:11" ht="15">
      <c r="A48" s="11" t="s">
        <v>63</v>
      </c>
      <c r="B48" s="14">
        <f>VLOOKUP(Vlookup!B48,'CDCM Forecast Data'!$A$14:$I$271,9,FALSE)</f>
        <v>37245816.184986286</v>
      </c>
      <c r="C48" s="10" t="s">
        <v>262</v>
      </c>
      <c r="D48"/>
      <c r="E48"/>
      <c r="F48"/>
      <c r="G48"/>
      <c r="H48"/>
      <c r="I48"/>
      <c r="J48"/>
      <c r="K48"/>
    </row>
    <row r="49" spans="1:11" ht="15">
      <c r="A49" s="11" t="s">
        <v>64</v>
      </c>
      <c r="B49" s="14">
        <f>VLOOKUP(Vlookup!B49,'CDCM Forecast Data'!$A$14:$I$271,9,FALSE)</f>
        <v>32403600.7477559</v>
      </c>
      <c r="C49" s="10" t="s">
        <v>262</v>
      </c>
      <c r="D49"/>
      <c r="E49"/>
      <c r="F49"/>
      <c r="G49"/>
      <c r="H49"/>
      <c r="I49"/>
      <c r="J49"/>
      <c r="K49"/>
    </row>
    <row r="50" spans="1:11" ht="15">
      <c r="A50" s="11" t="s">
        <v>69</v>
      </c>
      <c r="B50" s="14">
        <f>VLOOKUP(Vlookup!B50,'CDCM Forecast Data'!$A$14:$I$271,9,FALSE)</f>
        <v>10434446.958951704</v>
      </c>
      <c r="C50" s="10" t="s">
        <v>262</v>
      </c>
      <c r="D50"/>
      <c r="E50"/>
      <c r="F50"/>
      <c r="G50"/>
      <c r="H50"/>
      <c r="I50"/>
      <c r="J50"/>
      <c r="K50"/>
    </row>
    <row r="51" spans="1:11" ht="15">
      <c r="A51" s="11" t="s">
        <v>65</v>
      </c>
      <c r="B51" s="14">
        <f>VLOOKUP(Vlookup!B51,'CDCM Forecast Data'!$A$14:$I$271,9,FALSE)</f>
        <v>156306385.15206638</v>
      </c>
      <c r="C51" s="10" t="s">
        <v>262</v>
      </c>
      <c r="D51"/>
      <c r="E51"/>
      <c r="F51"/>
      <c r="G51"/>
      <c r="H51"/>
      <c r="I51"/>
      <c r="J51"/>
      <c r="K51"/>
    </row>
    <row r="52" spans="1:11" ht="15">
      <c r="A52" s="11" t="s">
        <v>66</v>
      </c>
      <c r="B52" s="14">
        <f>VLOOKUP(Vlookup!B52,'CDCM Forecast Data'!$A$14:$I$271,9,FALSE)</f>
        <v>60386081.809178337</v>
      </c>
      <c r="C52" s="10" t="s">
        <v>262</v>
      </c>
      <c r="D52"/>
      <c r="E52"/>
      <c r="F52"/>
      <c r="G52"/>
      <c r="H52"/>
      <c r="I52"/>
      <c r="J52"/>
      <c r="K52"/>
    </row>
    <row r="53" spans="1:11" ht="15">
      <c r="A53" s="11" t="s">
        <v>67</v>
      </c>
      <c r="B53" s="14">
        <f>VLOOKUP(Vlookup!B53,'CDCM Forecast Data'!$A$14:$I$271,9,FALSE)</f>
        <v>124367949.58196104</v>
      </c>
      <c r="C53" s="10"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11" t="s">
        <v>83</v>
      </c>
      <c r="B58" s="14">
        <f>VLOOKUP(Vlookup!B58,'CDCM Forecast Data'!$A$14:$I$271,9,FALSE)</f>
        <v>5590.6378921503519</v>
      </c>
      <c r="C58" s="14">
        <f>VLOOKUP(Vlookup!C58,'CDCM Forecast Data'!$A$14:$I$271,9,FALSE)</f>
        <v>628.89086827906715</v>
      </c>
      <c r="D58" s="14">
        <f>VLOOKUP(Vlookup!D58,'CDCM Forecast Data'!$A$14:$I$271,9,FALSE)</f>
        <v>765.67015161583527</v>
      </c>
      <c r="E58" s="14">
        <f>VLOOKUP(Vlookup!E58,'CDCM Forecast Data'!$A$14:$I$271,9,FALSE)</f>
        <v>567.83627290302593</v>
      </c>
      <c r="F58" s="14">
        <f>VLOOKUP(Vlookup!F58,'CDCM Forecast Data'!$A$14:$I$271,9,FALSE)</f>
        <v>1290.8182162242881</v>
      </c>
      <c r="G58" s="14">
        <f>VLOOKUP(Vlookup!G58,'CDCM Forecast Data'!$A$14:$I$271,9,FALSE)</f>
        <v>994.20508625521404</v>
      </c>
      <c r="H58" s="14">
        <f>VLOOKUP(Vlookup!H58,'CDCM Forecast Data'!$A$14:$I$271,9,FALSE)</f>
        <v>0</v>
      </c>
      <c r="I58" s="14">
        <f>VLOOKUP(Vlookup!I58,'CDCM Forecast Data'!$A$14:$I$271,9,FALSE)</f>
        <v>519.97506052877361</v>
      </c>
      <c r="J58" s="10"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11" t="s">
        <v>90</v>
      </c>
      <c r="B63" s="14">
        <f>VLOOKUP(Vlookup!B63,'CDCM Forecast Data'!$A$14:$I$271,9,FALSE)</f>
        <v>9863.6680973421971</v>
      </c>
      <c r="C63" s="14">
        <f>VLOOKUP(Vlookup!C63,'CDCM Forecast Data'!$A$14:$I$271,9,FALSE)</f>
        <v>4755.6075955337519</v>
      </c>
      <c r="D63" s="14">
        <f>VLOOKUP(Vlookup!D63,'CDCM Forecast Data'!$A$14:$I$271,9,FALSE)</f>
        <v>0</v>
      </c>
      <c r="E63" s="14">
        <f>VLOOKUP(Vlookup!E63,'CDCM Forecast Data'!$A$14:$I$271,9,FALSE)</f>
        <v>0</v>
      </c>
      <c r="F63" s="14">
        <f>VLOOKUP(Vlookup!F63,'CDCM Forecast Data'!$A$14:$I$271,9,FALSE)</f>
        <v>0</v>
      </c>
      <c r="G63" s="10"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34</v>
      </c>
      <c r="C66">
        <f t="shared" ref="C66:I66" si="0">B66+1</f>
        <v>35</v>
      </c>
      <c r="D66">
        <f t="shared" si="0"/>
        <v>36</v>
      </c>
      <c r="E66">
        <f t="shared" si="0"/>
        <v>37</v>
      </c>
      <c r="F66">
        <f t="shared" si="0"/>
        <v>38</v>
      </c>
      <c r="G66">
        <f t="shared" si="0"/>
        <v>39</v>
      </c>
      <c r="H66">
        <f t="shared" si="0"/>
        <v>40</v>
      </c>
      <c r="I66">
        <f t="shared" si="0"/>
        <v>41</v>
      </c>
      <c r="J66"/>
      <c r="K66"/>
    </row>
    <row r="67" spans="1:11" ht="15">
      <c r="A67"/>
      <c r="B67" s="3" t="s">
        <v>75</v>
      </c>
      <c r="C67" s="3" t="s">
        <v>76</v>
      </c>
      <c r="D67" s="3" t="s">
        <v>77</v>
      </c>
      <c r="E67" s="3" t="s">
        <v>78</v>
      </c>
      <c r="F67" s="3" t="s">
        <v>79</v>
      </c>
      <c r="G67" s="3" t="s">
        <v>80</v>
      </c>
      <c r="H67" s="3" t="s">
        <v>81</v>
      </c>
      <c r="I67" s="3" t="s">
        <v>82</v>
      </c>
      <c r="J67"/>
      <c r="K67"/>
    </row>
    <row r="68" spans="1:11" ht="15">
      <c r="A68" s="11" t="s">
        <v>92</v>
      </c>
      <c r="B68" s="16">
        <f>VLOOKUP($A68,'Mat of App'!$B$7:$AP$37,B$66,FALSE)</f>
        <v>0.05</v>
      </c>
      <c r="C68" s="16">
        <f>VLOOKUP($A68,'Mat of App'!$B$7:$AP$37,C$66,FALSE)</f>
        <v>0</v>
      </c>
      <c r="D68" s="16">
        <f>VLOOKUP($A68,'Mat of App'!$B$7:$AP$37,D$66,FALSE)</f>
        <v>0</v>
      </c>
      <c r="E68" s="16">
        <f>VLOOKUP($A68,'Mat of App'!$B$7:$AP$37,E$66,FALSE)</f>
        <v>0</v>
      </c>
      <c r="F68" s="16">
        <f>VLOOKUP($A68,'Mat of App'!$B$7:$AP$37,F$66,FALSE)</f>
        <v>0</v>
      </c>
      <c r="G68" s="16">
        <f>VLOOKUP($A68,'Mat of App'!$B$7:$AP$37,G$66,FALSE)</f>
        <v>0</v>
      </c>
      <c r="H68" s="16">
        <f>VLOOKUP($A68,'Mat of App'!$B$7:$AP$37,H$66,FALSE)</f>
        <v>0</v>
      </c>
      <c r="I68" s="16">
        <f>VLOOKUP($A68,'Mat of App'!$B$7:$AP$37,I$66,FALSE)</f>
        <v>0</v>
      </c>
      <c r="J68" s="10" t="s">
        <v>262</v>
      </c>
      <c r="K68"/>
    </row>
    <row r="69" spans="1:11" ht="15">
      <c r="A69" s="11" t="s">
        <v>93</v>
      </c>
      <c r="B69" s="16">
        <f>VLOOKUP($A69,'Mat of App'!$B$7:$AP$37,B$66,FALSE)</f>
        <v>0.05</v>
      </c>
      <c r="C69" s="16">
        <f>VLOOKUP($A69,'Mat of App'!$B$7:$AP$37,C$66,FALSE)</f>
        <v>0</v>
      </c>
      <c r="D69" s="16">
        <f>VLOOKUP($A69,'Mat of App'!$B$7:$AP$37,D$66,FALSE)</f>
        <v>0</v>
      </c>
      <c r="E69" s="16">
        <f>VLOOKUP($A69,'Mat of App'!$B$7:$AP$37,E$66,FALSE)</f>
        <v>0</v>
      </c>
      <c r="F69" s="16">
        <f>VLOOKUP($A69,'Mat of App'!$B$7:$AP$37,F$66,FALSE)</f>
        <v>0</v>
      </c>
      <c r="G69" s="16">
        <f>VLOOKUP($A69,'Mat of App'!$B$7:$AP$37,G$66,FALSE)</f>
        <v>0</v>
      </c>
      <c r="H69" s="16">
        <f>VLOOKUP($A69,'Mat of App'!$B$7:$AP$37,H$66,FALSE)</f>
        <v>0</v>
      </c>
      <c r="I69" s="16">
        <f>VLOOKUP($A69,'Mat of App'!$B$7:$AP$37,I$66,FALSE)</f>
        <v>0</v>
      </c>
      <c r="J69" s="10" t="s">
        <v>262</v>
      </c>
      <c r="K69"/>
    </row>
    <row r="70" spans="1:11" ht="15">
      <c r="A70" s="11" t="s">
        <v>94</v>
      </c>
      <c r="B70" s="16">
        <f>VLOOKUP($A70,'Mat of App'!$B$7:$AP$37,B$66,FALSE)</f>
        <v>0</v>
      </c>
      <c r="C70" s="16">
        <f>VLOOKUP($A70,'Mat of App'!$B$7:$AP$37,C$66,FALSE)</f>
        <v>1</v>
      </c>
      <c r="D70" s="16">
        <f>VLOOKUP($A70,'Mat of App'!$B$7:$AP$37,D$66,FALSE)</f>
        <v>0</v>
      </c>
      <c r="E70" s="16">
        <f>VLOOKUP($A70,'Mat of App'!$B$7:$AP$37,E$66,FALSE)</f>
        <v>0</v>
      </c>
      <c r="F70" s="16">
        <f>VLOOKUP($A70,'Mat of App'!$B$7:$AP$37,F$66,FALSE)</f>
        <v>0</v>
      </c>
      <c r="G70" s="16">
        <f>VLOOKUP($A70,'Mat of App'!$B$7:$AP$37,G$66,FALSE)</f>
        <v>0</v>
      </c>
      <c r="H70" s="16">
        <f>VLOOKUP($A70,'Mat of App'!$B$7:$AP$37,H$66,FALSE)</f>
        <v>0</v>
      </c>
      <c r="I70" s="16">
        <f>VLOOKUP($A70,'Mat of App'!$B$7:$AP$37,I$66,FALSE)</f>
        <v>0</v>
      </c>
      <c r="J70" s="10" t="s">
        <v>262</v>
      </c>
      <c r="K70"/>
    </row>
    <row r="71" spans="1:11" ht="15">
      <c r="A71" s="11" t="s">
        <v>95</v>
      </c>
      <c r="B71" s="16">
        <f>VLOOKUP($A71,'Mat of App'!$B$7:$AP$37,B$66,FALSE)</f>
        <v>0</v>
      </c>
      <c r="C71" s="16">
        <f>VLOOKUP($A71,'Mat of App'!$B$7:$AP$37,C$66,FALSE)</f>
        <v>1</v>
      </c>
      <c r="D71" s="16">
        <f>VLOOKUP($A71,'Mat of App'!$B$7:$AP$37,D$66,FALSE)</f>
        <v>0</v>
      </c>
      <c r="E71" s="16">
        <f>VLOOKUP($A71,'Mat of App'!$B$7:$AP$37,E$66,FALSE)</f>
        <v>0</v>
      </c>
      <c r="F71" s="16">
        <f>VLOOKUP($A71,'Mat of App'!$B$7:$AP$37,F$66,FALSE)</f>
        <v>0</v>
      </c>
      <c r="G71" s="16">
        <f>VLOOKUP($A71,'Mat of App'!$B$7:$AP$37,G$66,FALSE)</f>
        <v>0</v>
      </c>
      <c r="H71" s="16">
        <f>VLOOKUP($A71,'Mat of App'!$B$7:$AP$37,H$66,FALSE)</f>
        <v>0</v>
      </c>
      <c r="I71" s="16">
        <f>VLOOKUP($A71,'Mat of App'!$B$7:$AP$37,I$66,FALSE)</f>
        <v>0</v>
      </c>
      <c r="J71" s="10" t="s">
        <v>262</v>
      </c>
      <c r="K71"/>
    </row>
    <row r="72" spans="1:11" ht="15">
      <c r="A72" s="11" t="s">
        <v>96</v>
      </c>
      <c r="B72" s="16">
        <f>VLOOKUP($A72,'Mat of App'!$B$7:$AP$37,B$66,FALSE)</f>
        <v>0</v>
      </c>
      <c r="C72" s="16">
        <f>VLOOKUP($A72,'Mat of App'!$B$7:$AP$37,C$66,FALSE)</f>
        <v>0</v>
      </c>
      <c r="D72" s="16">
        <f>VLOOKUP($A72,'Mat of App'!$B$7:$AP$37,D$66,FALSE)</f>
        <v>1</v>
      </c>
      <c r="E72" s="16">
        <f>VLOOKUP($A72,'Mat of App'!$B$7:$AP$37,E$66,FALSE)</f>
        <v>0</v>
      </c>
      <c r="F72" s="16">
        <f>VLOOKUP($A72,'Mat of App'!$B$7:$AP$37,F$66,FALSE)</f>
        <v>0</v>
      </c>
      <c r="G72" s="16">
        <f>VLOOKUP($A72,'Mat of App'!$B$7:$AP$37,G$66,FALSE)</f>
        <v>0</v>
      </c>
      <c r="H72" s="16">
        <f>VLOOKUP($A72,'Mat of App'!$B$7:$AP$37,H$66,FALSE)</f>
        <v>0</v>
      </c>
      <c r="I72" s="16">
        <f>VLOOKUP($A72,'Mat of App'!$B$7:$AP$37,I$66,FALSE)</f>
        <v>0</v>
      </c>
      <c r="J72" s="10"/>
      <c r="K72"/>
    </row>
    <row r="73" spans="1:11" ht="15">
      <c r="A73" s="11" t="s">
        <v>97</v>
      </c>
      <c r="B73" s="16">
        <f>VLOOKUP($A73,'Mat of App'!$B$7:$AP$37,B$66,FALSE)</f>
        <v>0</v>
      </c>
      <c r="C73" s="16">
        <f>VLOOKUP($A73,'Mat of App'!$B$7:$AP$37,C$66,FALSE)</f>
        <v>0</v>
      </c>
      <c r="D73" s="16">
        <f>VLOOKUP($A73,'Mat of App'!$B$7:$AP$37,D$66,FALSE)</f>
        <v>0</v>
      </c>
      <c r="E73" s="16">
        <f>VLOOKUP($A73,'Mat of App'!$B$7:$AP$37,E$66,FALSE)</f>
        <v>1</v>
      </c>
      <c r="F73" s="16">
        <f>VLOOKUP($A73,'Mat of App'!$B$7:$AP$37,F$66,FALSE)</f>
        <v>0</v>
      </c>
      <c r="G73" s="16">
        <f>VLOOKUP($A73,'Mat of App'!$B$7:$AP$37,G$66,FALSE)</f>
        <v>0</v>
      </c>
      <c r="H73" s="16">
        <f>VLOOKUP($A73,'Mat of App'!$B$7:$AP$37,H$66,FALSE)</f>
        <v>0</v>
      </c>
      <c r="I73" s="16">
        <f>VLOOKUP($A73,'Mat of App'!$B$7:$AP$37,I$66,FALSE)</f>
        <v>0</v>
      </c>
      <c r="J73" s="10"/>
      <c r="K73"/>
    </row>
    <row r="74" spans="1:11" ht="15">
      <c r="A74" s="11" t="s">
        <v>1647</v>
      </c>
      <c r="B74" s="16">
        <f>VLOOKUP($A74,'Mat of App'!$B$7:$AP$37,B$66,FALSE)</f>
        <v>0.05</v>
      </c>
      <c r="C74" s="16">
        <f>VLOOKUP($A74,'Mat of App'!$B$7:$AP$37,C$66,FALSE)</f>
        <v>0</v>
      </c>
      <c r="D74" s="16">
        <f>VLOOKUP($A74,'Mat of App'!$B$7:$AP$37,D$66,FALSE)</f>
        <v>0</v>
      </c>
      <c r="E74" s="16">
        <f>VLOOKUP($A74,'Mat of App'!$B$7:$AP$37,E$66,FALSE)</f>
        <v>0</v>
      </c>
      <c r="F74" s="16">
        <f>VLOOKUP($A74,'Mat of App'!$B$7:$AP$37,F$66,FALSE)</f>
        <v>0</v>
      </c>
      <c r="G74" s="16">
        <f>VLOOKUP($A74,'Mat of App'!$B$7:$AP$37,G$66,FALSE)</f>
        <v>0</v>
      </c>
      <c r="H74" s="16">
        <f>VLOOKUP($A74,'Mat of App'!$B$7:$AP$37,H$66,FALSE)</f>
        <v>0</v>
      </c>
      <c r="I74" s="16">
        <f>VLOOKUP($A74,'Mat of App'!$B$7:$AP$37,I$66,FALSE)</f>
        <v>0</v>
      </c>
      <c r="J74" s="10" t="s">
        <v>262</v>
      </c>
      <c r="K74"/>
    </row>
    <row r="75" spans="1:11" ht="15">
      <c r="A75" s="11" t="s">
        <v>1646</v>
      </c>
      <c r="B75" s="16">
        <f>VLOOKUP($A75,'Mat of App'!$B$7:$AP$37,B$66,FALSE)</f>
        <v>0</v>
      </c>
      <c r="C75" s="16">
        <f>VLOOKUP($A75,'Mat of App'!$B$7:$AP$37,C$66,FALSE)</f>
        <v>1</v>
      </c>
      <c r="D75" s="16">
        <f>VLOOKUP($A75,'Mat of App'!$B$7:$AP$37,D$66,FALSE)</f>
        <v>0</v>
      </c>
      <c r="E75" s="16">
        <f>VLOOKUP($A75,'Mat of App'!$B$7:$AP$37,E$66,FALSE)</f>
        <v>0</v>
      </c>
      <c r="F75" s="16">
        <f>VLOOKUP($A75,'Mat of App'!$B$7:$AP$37,F$66,FALSE)</f>
        <v>0</v>
      </c>
      <c r="G75" s="16">
        <f>VLOOKUP($A75,'Mat of App'!$B$7:$AP$37,G$66,FALSE)</f>
        <v>0</v>
      </c>
      <c r="H75" s="16">
        <f>VLOOKUP($A75,'Mat of App'!$B$7:$AP$37,H$66,FALSE)</f>
        <v>0</v>
      </c>
      <c r="I75" s="16">
        <f>VLOOKUP($A75,'Mat of App'!$B$7:$AP$37,I$66,FALSE)</f>
        <v>0</v>
      </c>
      <c r="J75" s="10" t="s">
        <v>262</v>
      </c>
      <c r="K75"/>
    </row>
    <row r="76" spans="1:11" ht="15">
      <c r="A76" s="11" t="s">
        <v>98</v>
      </c>
      <c r="B76" s="16">
        <f>VLOOKUP($A76,'Mat of App'!$B$7:$AP$37,B$66,FALSE)</f>
        <v>0</v>
      </c>
      <c r="C76" s="16">
        <f>VLOOKUP($A76,'Mat of App'!$B$7:$AP$37,C$66,FALSE)</f>
        <v>0</v>
      </c>
      <c r="D76" s="16">
        <f>VLOOKUP($A76,'Mat of App'!$B$7:$AP$37,D$66,FALSE)</f>
        <v>0</v>
      </c>
      <c r="E76" s="16">
        <f>VLOOKUP($A76,'Mat of App'!$B$7:$AP$37,E$66,FALSE)</f>
        <v>0</v>
      </c>
      <c r="F76" s="16">
        <f>VLOOKUP($A76,'Mat of App'!$B$7:$AP$37,F$66,FALSE)</f>
        <v>1</v>
      </c>
      <c r="G76" s="16">
        <f>VLOOKUP($A76,'Mat of App'!$B$7:$AP$37,G$66,FALSE)</f>
        <v>0</v>
      </c>
      <c r="H76" s="16">
        <f>VLOOKUP($A76,'Mat of App'!$B$7:$AP$37,H$66,FALSE)</f>
        <v>0</v>
      </c>
      <c r="I76" s="16">
        <f>VLOOKUP($A76,'Mat of App'!$B$7:$AP$37,I$66,FALSE)</f>
        <v>0</v>
      </c>
      <c r="J76" s="10" t="s">
        <v>262</v>
      </c>
      <c r="K76"/>
    </row>
    <row r="77" spans="1:11" ht="15">
      <c r="A77" s="11" t="s">
        <v>99</v>
      </c>
      <c r="B77" s="16">
        <f>VLOOKUP($A77,'Mat of App'!$B$7:$AP$37,B$66,FALSE)</f>
        <v>0</v>
      </c>
      <c r="C77" s="16">
        <f>VLOOKUP($A77,'Mat of App'!$B$7:$AP$37,C$66,FALSE)</f>
        <v>0</v>
      </c>
      <c r="D77" s="16">
        <f>VLOOKUP($A77,'Mat of App'!$B$7:$AP$37,D$66,FALSE)</f>
        <v>0</v>
      </c>
      <c r="E77" s="16">
        <f>VLOOKUP($A77,'Mat of App'!$B$7:$AP$37,E$66,FALSE)</f>
        <v>0</v>
      </c>
      <c r="F77" s="16">
        <f>VLOOKUP($A77,'Mat of App'!$B$7:$AP$37,F$66,FALSE)</f>
        <v>0</v>
      </c>
      <c r="G77" s="16">
        <f>VLOOKUP($A77,'Mat of App'!$B$7:$AP$37,G$66,FALSE)</f>
        <v>1</v>
      </c>
      <c r="H77" s="16">
        <f>VLOOKUP($A77,'Mat of App'!$B$7:$AP$37,H$66,FALSE)</f>
        <v>0</v>
      </c>
      <c r="I77" s="16">
        <f>VLOOKUP($A77,'Mat of App'!$B$7:$AP$37,I$66,FALSE)</f>
        <v>0</v>
      </c>
      <c r="J77" s="10" t="s">
        <v>262</v>
      </c>
      <c r="K77"/>
    </row>
    <row r="78" spans="1:11" ht="15">
      <c r="A78" s="11" t="s">
        <v>1645</v>
      </c>
      <c r="B78" s="16">
        <f>VLOOKUP($A78,'Mat of App'!$B$7:$AP$37,B$66,FALSE)</f>
        <v>0</v>
      </c>
      <c r="C78" s="16">
        <f>VLOOKUP($A78,'Mat of App'!$B$7:$AP$37,C$66,FALSE)</f>
        <v>0</v>
      </c>
      <c r="D78" s="16">
        <f>VLOOKUP($A78,'Mat of App'!$B$7:$AP$37,D$66,FALSE)</f>
        <v>0</v>
      </c>
      <c r="E78" s="16">
        <f>VLOOKUP($A78,'Mat of App'!$B$7:$AP$37,E$66,FALSE)</f>
        <v>0</v>
      </c>
      <c r="F78" s="16">
        <f>VLOOKUP($A78,'Mat of App'!$B$7:$AP$37,F$66,FALSE)</f>
        <v>0</v>
      </c>
      <c r="G78" s="16">
        <f>VLOOKUP($A78,'Mat of App'!$B$7:$AP$37,G$66,FALSE)</f>
        <v>0</v>
      </c>
      <c r="H78" s="16">
        <f>VLOOKUP($A78,'Mat of App'!$B$7:$AP$37,H$66,FALSE)</f>
        <v>1</v>
      </c>
      <c r="I78" s="16">
        <f>VLOOKUP($A78,'Mat of App'!$B$7:$AP$37,I$66,FALSE)</f>
        <v>0</v>
      </c>
      <c r="J78" s="10" t="s">
        <v>262</v>
      </c>
      <c r="K78"/>
    </row>
    <row r="79" spans="1:11" ht="15">
      <c r="A79" s="11" t="s">
        <v>100</v>
      </c>
      <c r="B79" s="16">
        <f>VLOOKUP($A79,'Mat of App'!$B$7:$AP$37,B$66,FALSE)</f>
        <v>0</v>
      </c>
      <c r="C79" s="16">
        <f>VLOOKUP($A79,'Mat of App'!$B$7:$AP$37,C$66,FALSE)</f>
        <v>0</v>
      </c>
      <c r="D79" s="16">
        <f>VLOOKUP($A79,'Mat of App'!$B$7:$AP$37,D$66,FALSE)</f>
        <v>0</v>
      </c>
      <c r="E79" s="16">
        <f>VLOOKUP($A79,'Mat of App'!$B$7:$AP$37,E$66,FALSE)</f>
        <v>0</v>
      </c>
      <c r="F79" s="16">
        <f>VLOOKUP($A79,'Mat of App'!$B$7:$AP$37,F$66,FALSE)</f>
        <v>0</v>
      </c>
      <c r="G79" s="16">
        <f>VLOOKUP($A79,'Mat of App'!$B$7:$AP$37,G$66,FALSE)</f>
        <v>0</v>
      </c>
      <c r="H79" s="16">
        <f>VLOOKUP($A79,'Mat of App'!$B$7:$AP$37,H$66,FALSE)</f>
        <v>1</v>
      </c>
      <c r="I79" s="16">
        <f>VLOOKUP($A79,'Mat of App'!$B$7:$AP$37,I$66,FALSE)</f>
        <v>0</v>
      </c>
      <c r="J79" s="10" t="s">
        <v>262</v>
      </c>
      <c r="K79"/>
    </row>
    <row r="80" spans="1:11" ht="15">
      <c r="A80" s="11" t="s">
        <v>101</v>
      </c>
      <c r="B80" s="16">
        <f>VLOOKUP($A80,'Mat of App'!$B$7:$AP$37,B$66,FALSE)</f>
        <v>0</v>
      </c>
      <c r="C80" s="16">
        <f>VLOOKUP($A80,'Mat of App'!$B$7:$AP$37,C$66,FALSE)</f>
        <v>0</v>
      </c>
      <c r="D80" s="16">
        <f>VLOOKUP($A80,'Mat of App'!$B$7:$AP$37,D$66,FALSE)</f>
        <v>0</v>
      </c>
      <c r="E80" s="16">
        <f>VLOOKUP($A80,'Mat of App'!$B$7:$AP$37,E$66,FALSE)</f>
        <v>0</v>
      </c>
      <c r="F80" s="16">
        <f>VLOOKUP($A80,'Mat of App'!$B$7:$AP$37,F$66,FALSE)</f>
        <v>0</v>
      </c>
      <c r="G80" s="16">
        <f>VLOOKUP($A80,'Mat of App'!$B$7:$AP$37,G$66,FALSE)</f>
        <v>0</v>
      </c>
      <c r="H80" s="16">
        <f>VLOOKUP($A80,'Mat of App'!$B$7:$AP$37,H$66,FALSE)</f>
        <v>1</v>
      </c>
      <c r="I80" s="16">
        <f>VLOOKUP($A80,'Mat of App'!$B$7:$AP$37,I$66,FALSE)</f>
        <v>0</v>
      </c>
      <c r="J80" s="10" t="s">
        <v>262</v>
      </c>
      <c r="K80"/>
    </row>
    <row r="81" spans="1:11" ht="15">
      <c r="A81" s="11" t="s">
        <v>102</v>
      </c>
      <c r="B81" s="16">
        <f>VLOOKUP($A81,'Mat of App'!$B$7:$AP$37,B$66,FALSE)</f>
        <v>0</v>
      </c>
      <c r="C81" s="16">
        <f>VLOOKUP($A81,'Mat of App'!$B$7:$AP$37,C$66,FALSE)</f>
        <v>0</v>
      </c>
      <c r="D81" s="16">
        <f>VLOOKUP($A81,'Mat of App'!$B$7:$AP$37,D$66,FALSE)</f>
        <v>0</v>
      </c>
      <c r="E81" s="16">
        <f>VLOOKUP($A81,'Mat of App'!$B$7:$AP$37,E$66,FALSE)</f>
        <v>0</v>
      </c>
      <c r="F81" s="16">
        <f>VLOOKUP($A81,'Mat of App'!$B$7:$AP$37,F$66,FALSE)</f>
        <v>0</v>
      </c>
      <c r="G81" s="16">
        <f>VLOOKUP($A81,'Mat of App'!$B$7:$AP$37,G$66,FALSE)</f>
        <v>0</v>
      </c>
      <c r="H81" s="16">
        <f>VLOOKUP($A81,'Mat of App'!$B$7:$AP$37,H$66,FALSE)</f>
        <v>0</v>
      </c>
      <c r="I81" s="16">
        <f>VLOOKUP($A81,'Mat of App'!$B$7:$AP$37,I$66,FALSE)</f>
        <v>0</v>
      </c>
      <c r="J81" s="10" t="s">
        <v>262</v>
      </c>
      <c r="K81"/>
    </row>
    <row r="82" spans="1:11" ht="15">
      <c r="A82" s="11" t="s">
        <v>103</v>
      </c>
      <c r="B82" s="16">
        <f>VLOOKUP($A82,'Mat of App'!$B$7:$AP$37,B$66,FALSE)</f>
        <v>0</v>
      </c>
      <c r="C82" s="16">
        <f>VLOOKUP($A82,'Mat of App'!$B$7:$AP$37,C$66,FALSE)</f>
        <v>0</v>
      </c>
      <c r="D82" s="16">
        <f>VLOOKUP($A82,'Mat of App'!$B$7:$AP$37,D$66,FALSE)</f>
        <v>0</v>
      </c>
      <c r="E82" s="16">
        <f>VLOOKUP($A82,'Mat of App'!$B$7:$AP$37,E$66,FALSE)</f>
        <v>0</v>
      </c>
      <c r="F82" s="16">
        <f>VLOOKUP($A82,'Mat of App'!$B$7:$AP$37,F$66,FALSE)</f>
        <v>0</v>
      </c>
      <c r="G82" s="16">
        <f>VLOOKUP($A82,'Mat of App'!$B$7:$AP$37,G$66,FALSE)</f>
        <v>0</v>
      </c>
      <c r="H82" s="16">
        <f>VLOOKUP($A82,'Mat of App'!$B$7:$AP$37,H$66,FALSE)</f>
        <v>0</v>
      </c>
      <c r="I82" s="16">
        <f>VLOOKUP($A82,'Mat of App'!$B$7:$AP$37,I$66,FALSE)</f>
        <v>0</v>
      </c>
      <c r="J82" s="10" t="s">
        <v>262</v>
      </c>
      <c r="K82"/>
    </row>
    <row r="83" spans="1:11" ht="15">
      <c r="A83" s="11" t="s">
        <v>104</v>
      </c>
      <c r="B83" s="16">
        <f>VLOOKUP($A83,'Mat of App'!$B$7:$AP$37,B$66,FALSE)</f>
        <v>0</v>
      </c>
      <c r="C83" s="16">
        <f>VLOOKUP($A83,'Mat of App'!$B$7:$AP$37,C$66,FALSE)</f>
        <v>0</v>
      </c>
      <c r="D83" s="16">
        <f>VLOOKUP($A83,'Mat of App'!$B$7:$AP$37,D$66,FALSE)</f>
        <v>0</v>
      </c>
      <c r="E83" s="16">
        <f>VLOOKUP($A83,'Mat of App'!$B$7:$AP$37,E$66,FALSE)</f>
        <v>0</v>
      </c>
      <c r="F83" s="16">
        <f>VLOOKUP($A83,'Mat of App'!$B$7:$AP$37,F$66,FALSE)</f>
        <v>0</v>
      </c>
      <c r="G83" s="16">
        <f>VLOOKUP($A83,'Mat of App'!$B$7:$AP$37,G$66,FALSE)</f>
        <v>0</v>
      </c>
      <c r="H83" s="16">
        <f>VLOOKUP($A83,'Mat of App'!$B$7:$AP$37,H$66,FALSE)</f>
        <v>0</v>
      </c>
      <c r="I83" s="16">
        <f>VLOOKUP($A83,'Mat of App'!$B$7:$AP$37,I$66,FALSE)</f>
        <v>0</v>
      </c>
      <c r="J83" s="10"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11"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0.48759999999999998</v>
      </c>
      <c r="J90" s="10"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22</v>
      </c>
      <c r="C93">
        <f>B93+1</f>
        <v>23</v>
      </c>
      <c r="D93">
        <f>C93+1</f>
        <v>24</v>
      </c>
      <c r="E93">
        <f>D93+1</f>
        <v>25</v>
      </c>
      <c r="F93">
        <f>E93+1</f>
        <v>26</v>
      </c>
      <c r="G93"/>
      <c r="H93"/>
      <c r="I93"/>
      <c r="J93"/>
      <c r="K93"/>
    </row>
    <row r="94" spans="1:11" ht="15">
      <c r="A94"/>
      <c r="B94" s="3" t="s">
        <v>85</v>
      </c>
      <c r="C94" s="3" t="s">
        <v>86</v>
      </c>
      <c r="D94" s="3" t="s">
        <v>87</v>
      </c>
      <c r="E94" s="3" t="s">
        <v>88</v>
      </c>
      <c r="F94" s="3" t="s">
        <v>89</v>
      </c>
      <c r="G94"/>
      <c r="H94"/>
      <c r="I94"/>
      <c r="J94"/>
      <c r="K94"/>
    </row>
    <row r="95" spans="1:11" ht="15">
      <c r="A95" s="11" t="s">
        <v>110</v>
      </c>
      <c r="B95" s="16">
        <f>VLOOKUP($A95,'Mat of App'!$B$7:$AP$37,B$93,FALSE)</f>
        <v>1</v>
      </c>
      <c r="C95" s="16">
        <f>VLOOKUP($A95,'Mat of App'!$B$7:$AP$37,C$93,FALSE)</f>
        <v>0</v>
      </c>
      <c r="D95" s="16">
        <f>VLOOKUP($A95,'Mat of App'!$B$7:$AP$37,D$93,FALSE)</f>
        <v>0</v>
      </c>
      <c r="E95" s="16">
        <f>VLOOKUP($A95,'Mat of App'!$B$7:$AP$37,E$93,FALSE)</f>
        <v>0</v>
      </c>
      <c r="F95" s="16">
        <f>VLOOKUP($A95,'Mat of App'!$B$7:$AP$37,F$93,FALSE)</f>
        <v>0</v>
      </c>
      <c r="G95" s="10" t="s">
        <v>262</v>
      </c>
      <c r="H95"/>
      <c r="I95"/>
      <c r="J95"/>
      <c r="K95"/>
    </row>
    <row r="96" spans="1:11" ht="15">
      <c r="A96" s="11" t="s">
        <v>111</v>
      </c>
      <c r="B96" s="16">
        <f>VLOOKUP($A96,'Mat of App'!$B$7:$AP$37,B$93,FALSE)</f>
        <v>1</v>
      </c>
      <c r="C96" s="16">
        <f>VLOOKUP($A96,'Mat of App'!$B$7:$AP$37,C$93,FALSE)</f>
        <v>0</v>
      </c>
      <c r="D96" s="16">
        <f>VLOOKUP($A96,'Mat of App'!$B$7:$AP$37,D$93,FALSE)</f>
        <v>0</v>
      </c>
      <c r="E96" s="16">
        <f>VLOOKUP($A96,'Mat of App'!$B$7:$AP$37,E$93,FALSE)</f>
        <v>0</v>
      </c>
      <c r="F96" s="16">
        <f>VLOOKUP($A96,'Mat of App'!$B$7:$AP$37,F$93,FALSE)</f>
        <v>0</v>
      </c>
      <c r="G96" s="10" t="s">
        <v>262</v>
      </c>
      <c r="H96"/>
      <c r="I96"/>
      <c r="J96"/>
      <c r="K96"/>
    </row>
    <row r="97" spans="1:11" customFormat="1" ht="15">
      <c r="A97" s="11" t="s">
        <v>112</v>
      </c>
      <c r="B97" s="16">
        <f>VLOOKUP($A97,'Mat of App'!$B$7:$AP$37,B$93,FALSE)</f>
        <v>0</v>
      </c>
      <c r="C97" s="16">
        <f>VLOOKUP($A97,'Mat of App'!$B$7:$AP$37,C$93,FALSE)</f>
        <v>1</v>
      </c>
      <c r="D97" s="16">
        <f>VLOOKUP($A97,'Mat of App'!$B$7:$AP$37,D$93,FALSE)</f>
        <v>0</v>
      </c>
      <c r="E97" s="16">
        <f>VLOOKUP($A97,'Mat of App'!$B$7:$AP$37,E$93,FALSE)</f>
        <v>0</v>
      </c>
      <c r="F97" s="16">
        <f>VLOOKUP($A97,'Mat of App'!$B$7:$AP$37,F$93,FALSE)</f>
        <v>0</v>
      </c>
      <c r="G97" s="10"/>
    </row>
    <row r="98" spans="1:11" customFormat="1" ht="15">
      <c r="A98" s="11" t="s">
        <v>113</v>
      </c>
      <c r="B98" s="16">
        <f>VLOOKUP($A98,'Mat of App'!$B$7:$AP$37,B$93,FALSE)</f>
        <v>0</v>
      </c>
      <c r="C98" s="16">
        <f>VLOOKUP($A98,'Mat of App'!$B$7:$AP$37,C$93,FALSE)</f>
        <v>1</v>
      </c>
      <c r="D98" s="16">
        <f>VLOOKUP($A98,'Mat of App'!$B$7:$AP$37,D$93,FALSE)</f>
        <v>0</v>
      </c>
      <c r="E98" s="16">
        <f>VLOOKUP($A98,'Mat of App'!$B$7:$AP$37,E$93,FALSE)</f>
        <v>0</v>
      </c>
      <c r="F98" s="16">
        <f>VLOOKUP($A98,'Mat of App'!$B$7:$AP$37,F$93,FALSE)</f>
        <v>0</v>
      </c>
      <c r="G98" s="10"/>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11" t="s">
        <v>116</v>
      </c>
      <c r="B104" s="4">
        <f>VLOOKUP(Vlookup!B69,'CDCM Forecast Data'!$A$14:$I$271,9,FALSE)</f>
        <v>1.0097</v>
      </c>
      <c r="C104" s="4">
        <f>VLOOKUP(Vlookup!C69,'CDCM Forecast Data'!$A$14:$I$271,9,FALSE)</f>
        <v>1.0142</v>
      </c>
      <c r="D104" s="4">
        <f>VLOOKUP(Vlookup!D69,'CDCM Forecast Data'!$A$14:$I$271,9,FALSE)</f>
        <v>1.0269999999999999</v>
      </c>
      <c r="E104" s="4">
        <f>VLOOKUP(Vlookup!E69,'CDCM Forecast Data'!$A$14:$I$271,9,FALSE)</f>
        <v>1.0348999999999999</v>
      </c>
      <c r="F104" s="4">
        <f>VLOOKUP(Vlookup!F69,'CDCM Forecast Data'!$A$14:$I$271,9,FALSE)</f>
        <v>1.0439000000000001</v>
      </c>
      <c r="G104" s="4">
        <f>VLOOKUP(Vlookup!G69,'CDCM Forecast Data'!$A$14:$I$271,9,FALSE)</f>
        <v>1.0640000000000001</v>
      </c>
      <c r="H104" s="4">
        <f>VLOOKUP(Vlookup!H69,'CDCM Forecast Data'!$A$14:$I$271,9,FALSE)</f>
        <v>1.085</v>
      </c>
      <c r="I104" s="10"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11" t="s">
        <v>124</v>
      </c>
      <c r="B110" s="8"/>
      <c r="C110" s="16">
        <f>VLOOKUP(Vlookup!C75,'CDCM Forecast Data'!$A$14:$I$271,9,FALSE)</f>
        <v>0.31963777193131604</v>
      </c>
      <c r="D110" s="16">
        <f>VLOOKUP(Vlookup!D75,'CDCM Forecast Data'!$A$14:$I$271,9,FALSE)</f>
        <v>0.63846715658715969</v>
      </c>
      <c r="E110" s="16">
        <f>VLOOKUP(Vlookup!E75,'CDCM Forecast Data'!$A$14:$I$271,9,FALSE)</f>
        <v>0.45349156811055275</v>
      </c>
      <c r="F110" s="16">
        <f>VLOOKUP(Vlookup!F75,'CDCM Forecast Data'!$A$14:$I$271,9,FALSE)</f>
        <v>0.34444405043316395</v>
      </c>
      <c r="G110" s="10"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11" t="s">
        <v>92</v>
      </c>
      <c r="B116" s="4">
        <f>VLOOKUP(Vlookup!B81,'CDCM Forecast Data'!$A$14:$I$271,6,FALSE)</f>
        <v>0.85759516031476501</v>
      </c>
      <c r="C116" s="4">
        <f>VLOOKUP(Vlookup!C81,'CDCM Forecast Data'!$A$14:$I$271,6,FALSE)</f>
        <v>0.44003574379694171</v>
      </c>
      <c r="D116" s="10" t="s">
        <v>262</v>
      </c>
      <c r="E116"/>
      <c r="F116"/>
      <c r="G116"/>
      <c r="H116"/>
      <c r="I116"/>
      <c r="J116"/>
      <c r="K116"/>
    </row>
    <row r="117" spans="1:11" ht="15">
      <c r="A117" s="11" t="s">
        <v>93</v>
      </c>
      <c r="B117" s="4">
        <f>VLOOKUP(Vlookup!B82,'CDCM Forecast Data'!$A$14:$I$271,6,FALSE)</f>
        <v>0.28862941872680464</v>
      </c>
      <c r="C117" s="4">
        <f>VLOOKUP(Vlookup!C82,'CDCM Forecast Data'!$A$14:$I$271,6,FALSE)</f>
        <v>0.24997898838710139</v>
      </c>
      <c r="D117" s="10" t="s">
        <v>262</v>
      </c>
      <c r="E117"/>
      <c r="F117"/>
      <c r="G117"/>
      <c r="H117"/>
      <c r="I117"/>
      <c r="J117"/>
      <c r="K117"/>
    </row>
    <row r="118" spans="1:11" ht="15">
      <c r="A118" s="11" t="s">
        <v>129</v>
      </c>
      <c r="B118" s="8"/>
      <c r="C118" s="4">
        <f>VLOOKUP(Vlookup!C83,'CDCM Forecast Data'!$A$14:$I$271,6,FALSE)</f>
        <v>0.25721840525583911</v>
      </c>
      <c r="D118" s="10" t="s">
        <v>262</v>
      </c>
      <c r="E118"/>
      <c r="F118"/>
      <c r="G118"/>
      <c r="H118"/>
      <c r="I118"/>
      <c r="J118"/>
      <c r="K118"/>
    </row>
    <row r="119" spans="1:11" ht="15">
      <c r="A119" s="11" t="s">
        <v>94</v>
      </c>
      <c r="B119" s="4">
        <f>VLOOKUP(Vlookup!B84,'CDCM Forecast Data'!$A$14:$I$271,6,FALSE)</f>
        <v>0.63063099162887759</v>
      </c>
      <c r="C119" s="4">
        <f>VLOOKUP(Vlookup!C84,'CDCM Forecast Data'!$A$14:$I$271,6,FALSE)</f>
        <v>0.41141924234461547</v>
      </c>
      <c r="D119" s="10" t="s">
        <v>262</v>
      </c>
      <c r="E119"/>
      <c r="F119"/>
      <c r="G119"/>
      <c r="H119"/>
      <c r="I119"/>
      <c r="J119"/>
      <c r="K119"/>
    </row>
    <row r="120" spans="1:11" ht="15">
      <c r="A120" s="11" t="s">
        <v>95</v>
      </c>
      <c r="B120" s="4">
        <f>VLOOKUP(Vlookup!B85,'CDCM Forecast Data'!$A$14:$I$271,6,FALSE)</f>
        <v>0.72549700914004911</v>
      </c>
      <c r="C120" s="4">
        <f>VLOOKUP(Vlookup!C85,'CDCM Forecast Data'!$A$14:$I$271,6,FALSE)</f>
        <v>0.55069014186184517</v>
      </c>
      <c r="D120" s="10" t="s">
        <v>262</v>
      </c>
      <c r="E120"/>
      <c r="F120"/>
      <c r="G120"/>
      <c r="H120"/>
      <c r="I120"/>
      <c r="J120"/>
      <c r="K120"/>
    </row>
    <row r="121" spans="1:11" ht="15">
      <c r="A121" s="11" t="s">
        <v>130</v>
      </c>
      <c r="B121" s="8"/>
      <c r="C121" s="4">
        <f>VLOOKUP(Vlookup!C86,'CDCM Forecast Data'!$A$14:$I$271,6,FALSE)</f>
        <v>0.28056285937387915</v>
      </c>
      <c r="D121" s="10" t="s">
        <v>262</v>
      </c>
      <c r="E121"/>
      <c r="F121"/>
      <c r="G121"/>
      <c r="H121"/>
      <c r="I121"/>
      <c r="J121"/>
      <c r="K121"/>
    </row>
    <row r="122" spans="1:11" ht="15">
      <c r="A122" s="11" t="s">
        <v>96</v>
      </c>
      <c r="B122" s="4">
        <f>VLOOKUP(Vlookup!B87,'CDCM Forecast Data'!$A$14:$I$271,6,FALSE)</f>
        <v>0.77193739705983777</v>
      </c>
      <c r="C122" s="4">
        <f>VLOOKUP(Vlookup!C87,'CDCM Forecast Data'!$A$14:$I$271,6,FALSE)</f>
        <v>0.54202643928388716</v>
      </c>
      <c r="D122" s="10" t="s">
        <v>262</v>
      </c>
      <c r="E122"/>
      <c r="F122"/>
      <c r="G122"/>
      <c r="H122"/>
      <c r="I122"/>
      <c r="J122"/>
      <c r="K122"/>
    </row>
    <row r="123" spans="1:11" ht="15">
      <c r="A123" s="11" t="s">
        <v>97</v>
      </c>
      <c r="B123" s="4">
        <f>VLOOKUP(Vlookup!B88,'CDCM Forecast Data'!$A$14:$I$271,6,FALSE)</f>
        <v>0.77193739705983777</v>
      </c>
      <c r="C123" s="4">
        <f>VLOOKUP(Vlookup!C88,'CDCM Forecast Data'!$A$14:$I$271,6,FALSE)</f>
        <v>0.54202643928388716</v>
      </c>
      <c r="D123" s="10" t="s">
        <v>262</v>
      </c>
      <c r="E123"/>
      <c r="F123"/>
      <c r="G123"/>
      <c r="H123"/>
      <c r="I123"/>
      <c r="J123"/>
      <c r="K123"/>
    </row>
    <row r="124" spans="1:11" ht="15">
      <c r="A124" s="11" t="s">
        <v>110</v>
      </c>
      <c r="B124" s="4">
        <f>VLOOKUP(Vlookup!B89,'CDCM Forecast Data'!$A$14:$I$271,6,FALSE)</f>
        <v>0.5147350712369958</v>
      </c>
      <c r="C124" s="4">
        <f>VLOOKUP(Vlookup!C89,'CDCM Forecast Data'!$A$14:$I$271,6,FALSE)</f>
        <v>0.37297691878220807</v>
      </c>
      <c r="D124" s="10" t="s">
        <v>262</v>
      </c>
      <c r="E124"/>
      <c r="F124"/>
      <c r="G124"/>
      <c r="H124"/>
      <c r="I124"/>
      <c r="J124"/>
      <c r="K124"/>
    </row>
    <row r="125" spans="1:11" ht="15">
      <c r="A125" s="11" t="s">
        <v>1647</v>
      </c>
      <c r="B125" s="4">
        <f>VLOOKUP(Vlookup!B90,'CDCM Forecast Data'!$A$14:$I$271,6,FALSE)</f>
        <v>0.82538148778829346</v>
      </c>
      <c r="C125" s="4">
        <f>VLOOKUP(Vlookup!C90,'CDCM Forecast Data'!$A$14:$I$271,6,FALSE)</f>
        <v>0.42910585224417291</v>
      </c>
      <c r="D125" s="10" t="s">
        <v>262</v>
      </c>
      <c r="E125"/>
      <c r="F125"/>
      <c r="G125"/>
      <c r="H125"/>
      <c r="I125"/>
      <c r="J125"/>
      <c r="K125"/>
    </row>
    <row r="126" spans="1:11" ht="15">
      <c r="A126" s="11" t="s">
        <v>1646</v>
      </c>
      <c r="B126" s="4">
        <f>VLOOKUP(Vlookup!B91,'CDCM Forecast Data'!$A$14:$I$271,6,FALSE)</f>
        <v>0.64712654999949026</v>
      </c>
      <c r="C126" s="4">
        <f>VLOOKUP(Vlookup!C91,'CDCM Forecast Data'!$A$14:$I$271,6,FALSE)</f>
        <v>0.43505682103944454</v>
      </c>
      <c r="D126" s="10" t="s">
        <v>262</v>
      </c>
      <c r="E126"/>
      <c r="F126"/>
      <c r="G126"/>
      <c r="H126"/>
      <c r="I126"/>
      <c r="J126"/>
      <c r="K126"/>
    </row>
    <row r="127" spans="1:11" ht="15">
      <c r="A127" s="11" t="s">
        <v>98</v>
      </c>
      <c r="B127" s="4">
        <f>VLOOKUP(Vlookup!B92,'CDCM Forecast Data'!$A$14:$I$271,6,FALSE)</f>
        <v>0.76513583991019607</v>
      </c>
      <c r="C127" s="4">
        <f>VLOOKUP(Vlookup!C92,'CDCM Forecast Data'!$A$14:$I$271,6,FALSE)</f>
        <v>0.58780986597120821</v>
      </c>
      <c r="D127" s="10" t="s">
        <v>262</v>
      </c>
      <c r="E127"/>
      <c r="F127"/>
      <c r="G127"/>
      <c r="H127"/>
      <c r="I127"/>
      <c r="J127"/>
      <c r="K127"/>
    </row>
    <row r="128" spans="1:11" ht="15">
      <c r="A128" s="11" t="s">
        <v>99</v>
      </c>
      <c r="B128" s="4">
        <f>VLOOKUP(Vlookup!B93,'CDCM Forecast Data'!$A$14:$I$271,6,FALSE)</f>
        <v>0.76513583991019607</v>
      </c>
      <c r="C128" s="4">
        <f>VLOOKUP(Vlookup!C93,'CDCM Forecast Data'!$A$14:$I$271,6,FALSE)</f>
        <v>0.58780986597120821</v>
      </c>
      <c r="D128" s="10"/>
      <c r="E128"/>
      <c r="F128"/>
      <c r="G128"/>
      <c r="H128"/>
      <c r="I128"/>
      <c r="J128"/>
      <c r="K128"/>
    </row>
    <row r="129" spans="1:11" ht="15">
      <c r="A129" s="11" t="s">
        <v>111</v>
      </c>
      <c r="B129" s="4">
        <f>VLOOKUP(Vlookup!B94,'CDCM Forecast Data'!$A$14:$I$271,6,FALSE)</f>
        <v>0.85096169090232854</v>
      </c>
      <c r="C129" s="4">
        <f>VLOOKUP(Vlookup!C94,'CDCM Forecast Data'!$A$14:$I$271,6,FALSE)</f>
        <v>0.73762935772845595</v>
      </c>
      <c r="D129" s="10"/>
      <c r="E129"/>
      <c r="F129"/>
      <c r="G129"/>
      <c r="H129"/>
      <c r="I129"/>
      <c r="J129"/>
      <c r="K129"/>
    </row>
    <row r="130" spans="1:11" ht="15">
      <c r="A130" s="11" t="s">
        <v>131</v>
      </c>
      <c r="B130" s="4">
        <f>VLOOKUP(Vlookup!B95,'CDCM Forecast Data'!$A$14:$I$271,6,FALSE)</f>
        <v>1</v>
      </c>
      <c r="C130" s="4">
        <f>VLOOKUP(Vlookup!C95,'CDCM Forecast Data'!$A$14:$I$271,6,FALSE)</f>
        <v>1</v>
      </c>
      <c r="D130" s="10" t="s">
        <v>262</v>
      </c>
      <c r="E130"/>
      <c r="F130"/>
      <c r="G130"/>
      <c r="H130"/>
      <c r="I130"/>
      <c r="J130"/>
      <c r="K130"/>
    </row>
    <row r="131" spans="1:11" ht="15">
      <c r="A131" s="11" t="s">
        <v>132</v>
      </c>
      <c r="B131" s="4">
        <f>VLOOKUP(Vlookup!B96,'CDCM Forecast Data'!$A$14:$I$271,6,FALSE)</f>
        <v>0.99388353345735381</v>
      </c>
      <c r="C131" s="4">
        <f>VLOOKUP(Vlookup!C96,'CDCM Forecast Data'!$A$14:$I$271,6,FALSE)</f>
        <v>0.47309957267296898</v>
      </c>
      <c r="D131" s="10"/>
      <c r="E131"/>
      <c r="F131"/>
      <c r="G131"/>
      <c r="H131"/>
      <c r="I131"/>
      <c r="J131"/>
      <c r="K131"/>
    </row>
    <row r="132" spans="1:11" ht="15">
      <c r="A132" s="11" t="s">
        <v>133</v>
      </c>
      <c r="B132" s="4">
        <f>VLOOKUP(Vlookup!B97,'CDCM Forecast Data'!$A$14:$I$271,6,FALSE)</f>
        <v>0.75050100200400804</v>
      </c>
      <c r="C132" s="4">
        <f>VLOOKUP(Vlookup!C97,'CDCM Forecast Data'!$A$14:$I$271,6,FALSE)</f>
        <v>0.24527046603861322</v>
      </c>
      <c r="D132" s="10"/>
      <c r="E132"/>
      <c r="F132"/>
      <c r="G132"/>
      <c r="H132"/>
      <c r="I132"/>
      <c r="J132"/>
      <c r="K132"/>
    </row>
    <row r="133" spans="1:11" ht="15">
      <c r="A133" s="11" t="s">
        <v>134</v>
      </c>
      <c r="B133" s="4">
        <f>VLOOKUP(Vlookup!B98,'CDCM Forecast Data'!$A$14:$I$271,6,FALSE)</f>
        <v>0</v>
      </c>
      <c r="C133" s="4">
        <f>VLOOKUP(Vlookup!C98,'CDCM Forecast Data'!$A$14:$I$271,6,FALSE)</f>
        <v>0.51417471713179308</v>
      </c>
      <c r="D133" s="10"/>
      <c r="E133"/>
      <c r="F133"/>
      <c r="G133"/>
      <c r="H133"/>
      <c r="I133"/>
      <c r="J133"/>
      <c r="K133"/>
    </row>
    <row r="134" spans="1:11" ht="15">
      <c r="A134" s="11" t="s">
        <v>135</v>
      </c>
      <c r="B134" s="4">
        <f>VLOOKUP(Vlookup!B99,'CDCM Forecast Data'!$A$14:$I$271,6,FALSE)</f>
        <v>0.97898179724204526</v>
      </c>
      <c r="C134" s="4">
        <f>VLOOKUP(Vlookup!C99,'CDCM Forecast Data'!$A$14:$I$271,6,FALSE)</f>
        <v>0.47429529311509694</v>
      </c>
      <c r="D134" s="10"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28</v>
      </c>
      <c r="C137">
        <v>29</v>
      </c>
      <c r="D137">
        <v>30</v>
      </c>
      <c r="E137">
        <v>31</v>
      </c>
      <c r="F137">
        <v>32</v>
      </c>
      <c r="G137">
        <v>33</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7" t="s">
        <v>146</v>
      </c>
      <c r="B142" s="18">
        <f>VLOOKUP(Vlookup!$B107,'CDCM Volume Forecasts'!$A$27:$AG$123,B$137,FALSE)</f>
        <v>0</v>
      </c>
      <c r="C142" s="18">
        <f>VLOOKUP(Vlookup!$B107,'CDCM Volume Forecasts'!$A$27:$AG$123,C$137,FALSE)</f>
        <v>0</v>
      </c>
      <c r="D142" s="18">
        <f>VLOOKUP(Vlookup!$B107,'CDCM Volume Forecasts'!$A$27:$AG$123,D$137,FALSE)</f>
        <v>0</v>
      </c>
      <c r="E142" s="18">
        <f>VLOOKUP(Vlookup!$B107,'CDCM Volume Forecasts'!$A$27:$AG$123,E$137,FALSE)</f>
        <v>0</v>
      </c>
      <c r="F142" s="18">
        <f>VLOOKUP(Vlookup!$B107,'CDCM Volume Forecasts'!$A$27:$AG$123,F$137,FALSE)</f>
        <v>0</v>
      </c>
      <c r="G142" s="18">
        <f>VLOOKUP(Vlookup!$B107,'CDCM Volume Forecasts'!$A$27:$AG$123,G$137,FALSE)</f>
        <v>0</v>
      </c>
      <c r="H142" s="10"/>
      <c r="I142"/>
      <c r="J142"/>
      <c r="K142"/>
    </row>
    <row r="143" spans="1:11" ht="15">
      <c r="A143" s="11" t="s">
        <v>92</v>
      </c>
      <c r="B143" s="4">
        <f>VLOOKUP(Vlookup!$B108,'CDCM Volume Forecasts'!$A$27:$AG$123,B$137,FALSE)</f>
        <v>3242264.655750392</v>
      </c>
      <c r="C143" s="8">
        <f>VLOOKUP(Vlookup!$B108,'CDCM Volume Forecasts'!$A$27:$AG$123,C$137,FALSE)</f>
        <v>0</v>
      </c>
      <c r="D143" s="8">
        <f>VLOOKUP(Vlookup!$B108,'CDCM Volume Forecasts'!$A$27:$AG$123,D$137,FALSE)</f>
        <v>0</v>
      </c>
      <c r="E143" s="14">
        <f>VLOOKUP(Vlookup!$B108,'CDCM Volume Forecasts'!$A$27:$AG$123,E$137,FALSE)</f>
        <v>964740</v>
      </c>
      <c r="F143" s="8">
        <f>VLOOKUP(Vlookup!$B108,'CDCM Volume Forecasts'!$A$27:$AG$123,F$137,FALSE)</f>
        <v>0</v>
      </c>
      <c r="G143" s="8">
        <f>VLOOKUP(Vlookup!$B108,'CDCM Volume Forecasts'!$A$27:$AG$123,G$137,FALSE)</f>
        <v>0</v>
      </c>
      <c r="H143" s="10"/>
      <c r="I143"/>
      <c r="J143"/>
      <c r="K143"/>
    </row>
    <row r="144" spans="1:11" ht="15">
      <c r="A144" s="11" t="s">
        <v>147</v>
      </c>
      <c r="B144" s="4">
        <f>VLOOKUP(Vlookup!$B109,'CDCM Volume Forecasts'!$A$27:$AG$123,B$137,FALSE)</f>
        <v>2870.3349849031706</v>
      </c>
      <c r="C144" s="8">
        <f>VLOOKUP(Vlookup!$B109,'CDCM Volume Forecasts'!$A$27:$AG$123,C$137,FALSE)</f>
        <v>0</v>
      </c>
      <c r="D144" s="8">
        <f>VLOOKUP(Vlookup!$B109,'CDCM Volume Forecasts'!$A$27:$AG$123,D$137,FALSE)</f>
        <v>0</v>
      </c>
      <c r="E144" s="14">
        <f>VLOOKUP(Vlookup!$B109,'CDCM Volume Forecasts'!$A$27:$AG$123,E$137,FALSE)</f>
        <v>893</v>
      </c>
      <c r="F144" s="8">
        <f>VLOOKUP(Vlookup!$B109,'CDCM Volume Forecasts'!$A$27:$AG$123,F$137,FALSE)</f>
        <v>0</v>
      </c>
      <c r="G144" s="8">
        <f>VLOOKUP(Vlookup!$B109,'CDCM Volume Forecasts'!$A$27:$AG$123,G$137,FALSE)</f>
        <v>0</v>
      </c>
      <c r="H144" s="10"/>
      <c r="I144"/>
      <c r="J144"/>
      <c r="K144"/>
    </row>
    <row r="145" spans="1:11" ht="15">
      <c r="A145" s="11" t="s">
        <v>148</v>
      </c>
      <c r="B145" s="4">
        <f>VLOOKUP(Vlookup!$B110,'CDCM Volume Forecasts'!$A$27:$AG$123,B$137,FALSE)</f>
        <v>11376.82714716523</v>
      </c>
      <c r="C145" s="8">
        <f>VLOOKUP(Vlookup!$B110,'CDCM Volume Forecasts'!$A$27:$AG$123,C$137,FALSE)</f>
        <v>0</v>
      </c>
      <c r="D145" s="8">
        <f>VLOOKUP(Vlookup!$B110,'CDCM Volume Forecasts'!$A$27:$AG$123,D$137,FALSE)</f>
        <v>0</v>
      </c>
      <c r="E145" s="14">
        <f>VLOOKUP(Vlookup!$B110,'CDCM Volume Forecasts'!$A$27:$AG$123,E$137,FALSE)</f>
        <v>3843</v>
      </c>
      <c r="F145" s="8">
        <f>VLOOKUP(Vlookup!$B110,'CDCM Volume Forecasts'!$A$27:$AG$123,F$137,FALSE)</f>
        <v>0</v>
      </c>
      <c r="G145" s="8">
        <f>VLOOKUP(Vlookup!$B110,'CDCM Volume Forecasts'!$A$27:$AG$123,G$137,FALSE)</f>
        <v>0</v>
      </c>
      <c r="H145" s="10"/>
      <c r="I145"/>
      <c r="J145"/>
      <c r="K145"/>
    </row>
    <row r="146" spans="1:11" ht="15">
      <c r="A146" s="17" t="s">
        <v>149</v>
      </c>
      <c r="B146" s="18">
        <f>VLOOKUP(Vlookup!$B111,'CDCM Volume Forecasts'!$A$27:$AG$123,B$137,FALSE)</f>
        <v>0</v>
      </c>
      <c r="C146" s="18">
        <f>VLOOKUP(Vlookup!$B111,'CDCM Volume Forecasts'!$A$27:$AG$123,C$137,FALSE)</f>
        <v>0</v>
      </c>
      <c r="D146" s="18">
        <f>VLOOKUP(Vlookup!$B111,'CDCM Volume Forecasts'!$A$27:$AG$123,D$137,FALSE)</f>
        <v>0</v>
      </c>
      <c r="E146" s="18">
        <f>VLOOKUP(Vlookup!$B111,'CDCM Volume Forecasts'!$A$27:$AG$123,E$137,FALSE)</f>
        <v>0</v>
      </c>
      <c r="F146" s="18">
        <f>VLOOKUP(Vlookup!$B111,'CDCM Volume Forecasts'!$A$27:$AG$123,F$137,FALSE)</f>
        <v>0</v>
      </c>
      <c r="G146" s="18">
        <f>VLOOKUP(Vlookup!$B111,'CDCM Volume Forecasts'!$A$27:$AG$123,G$137,FALSE)</f>
        <v>0</v>
      </c>
      <c r="H146" s="10"/>
      <c r="I146"/>
      <c r="J146"/>
      <c r="K146"/>
    </row>
    <row r="147" spans="1:11" ht="15">
      <c r="A147" s="11" t="s">
        <v>93</v>
      </c>
      <c r="B147" s="4">
        <f>VLOOKUP(Vlookup!$B112,'CDCM Volume Forecasts'!$A$27:$AG$123,B$137,FALSE)</f>
        <v>174847.88943573163</v>
      </c>
      <c r="C147" s="4">
        <f>VLOOKUP(Vlookup!$B112,'CDCM Volume Forecasts'!$A$27:$AG$123,C$137,FALSE)</f>
        <v>180701.55632797108</v>
      </c>
      <c r="D147" s="8">
        <f>VLOOKUP(Vlookup!$B112,'CDCM Volume Forecasts'!$A$27:$AG$123,D$137,FALSE)</f>
        <v>0</v>
      </c>
      <c r="E147" s="14">
        <f>VLOOKUP(Vlookup!$B112,'CDCM Volume Forecasts'!$A$27:$AG$123,E$137,FALSE)</f>
        <v>58083</v>
      </c>
      <c r="F147" s="8">
        <f>VLOOKUP(Vlookup!$B112,'CDCM Volume Forecasts'!$A$27:$AG$123,F$137,FALSE)</f>
        <v>0</v>
      </c>
      <c r="G147" s="8">
        <f>VLOOKUP(Vlookup!$B112,'CDCM Volume Forecasts'!$A$27:$AG$123,G$137,FALSE)</f>
        <v>0</v>
      </c>
      <c r="H147" s="10"/>
      <c r="I147"/>
      <c r="J147"/>
      <c r="K147"/>
    </row>
    <row r="148" spans="1:11" ht="15">
      <c r="A148" s="11" t="s">
        <v>150</v>
      </c>
      <c r="B148" s="4">
        <f>VLOOKUP(Vlookup!$B113,'CDCM Volume Forecasts'!$A$27:$AG$123,B$137,FALSE)</f>
        <v>262.98719224025433</v>
      </c>
      <c r="C148" s="4">
        <f>VLOOKUP(Vlookup!$B113,'CDCM Volume Forecasts'!$A$27:$AG$123,C$137,FALSE)</f>
        <v>6585.6695296550351</v>
      </c>
      <c r="D148" s="8">
        <f>VLOOKUP(Vlookup!$B113,'CDCM Volume Forecasts'!$A$27:$AG$123,D$137,FALSE)</f>
        <v>0</v>
      </c>
      <c r="E148" s="14">
        <f>VLOOKUP(Vlookup!$B113,'CDCM Volume Forecasts'!$A$27:$AG$123,E$137,FALSE)</f>
        <v>21</v>
      </c>
      <c r="F148" s="8">
        <f>VLOOKUP(Vlookup!$B113,'CDCM Volume Forecasts'!$A$27:$AG$123,F$137,FALSE)</f>
        <v>0</v>
      </c>
      <c r="G148" s="8">
        <f>VLOOKUP(Vlookup!$B113,'CDCM Volume Forecasts'!$A$27:$AG$123,G$137,FALSE)</f>
        <v>0</v>
      </c>
      <c r="H148" s="10"/>
      <c r="I148"/>
      <c r="J148"/>
      <c r="K148"/>
    </row>
    <row r="149" spans="1:11" ht="15">
      <c r="A149" s="11" t="s">
        <v>151</v>
      </c>
      <c r="B149" s="4">
        <f>VLOOKUP(Vlookup!$B114,'CDCM Volume Forecasts'!$A$27:$AG$123,B$137,FALSE)</f>
        <v>256.3006220521292</v>
      </c>
      <c r="C149" s="4">
        <f>VLOOKUP(Vlookup!$B114,'CDCM Volume Forecasts'!$A$27:$AG$123,C$137,FALSE)</f>
        <v>349.8743055243375</v>
      </c>
      <c r="D149" s="8">
        <f>VLOOKUP(Vlookup!$B114,'CDCM Volume Forecasts'!$A$27:$AG$123,D$137,FALSE)</f>
        <v>0</v>
      </c>
      <c r="E149" s="14">
        <f>VLOOKUP(Vlookup!$B114,'CDCM Volume Forecasts'!$A$27:$AG$123,E$137,FALSE)</f>
        <v>80</v>
      </c>
      <c r="F149" s="8">
        <f>VLOOKUP(Vlookup!$B114,'CDCM Volume Forecasts'!$A$27:$AG$123,F$137,FALSE)</f>
        <v>0</v>
      </c>
      <c r="G149" s="8">
        <f>VLOOKUP(Vlookup!$B114,'CDCM Volume Forecasts'!$A$27:$AG$123,G$137,FALSE)</f>
        <v>0</v>
      </c>
      <c r="H149" s="10"/>
      <c r="I149"/>
      <c r="J149"/>
      <c r="K149"/>
    </row>
    <row r="150" spans="1:11" ht="15">
      <c r="A150" s="17" t="s">
        <v>152</v>
      </c>
      <c r="B150" s="18">
        <f>VLOOKUP(Vlookup!$B115,'CDCM Volume Forecasts'!$A$27:$AG$123,B$137,FALSE)</f>
        <v>0</v>
      </c>
      <c r="C150" s="18">
        <f>VLOOKUP(Vlookup!$B115,'CDCM Volume Forecasts'!$A$27:$AG$123,C$137,FALSE)</f>
        <v>0</v>
      </c>
      <c r="D150" s="18">
        <f>VLOOKUP(Vlookup!$B115,'CDCM Volume Forecasts'!$A$27:$AG$123,D$137,FALSE)</f>
        <v>0</v>
      </c>
      <c r="E150" s="18">
        <f>VLOOKUP(Vlookup!$B115,'CDCM Volume Forecasts'!$A$27:$AG$123,E$137,FALSE)</f>
        <v>0</v>
      </c>
      <c r="F150" s="18">
        <f>VLOOKUP(Vlookup!$B115,'CDCM Volume Forecasts'!$A$27:$AG$123,F$137,FALSE)</f>
        <v>0</v>
      </c>
      <c r="G150" s="18">
        <f>VLOOKUP(Vlookup!$B115,'CDCM Volume Forecasts'!$A$27:$AG$123,G$137,FALSE)</f>
        <v>0</v>
      </c>
      <c r="H150" s="10"/>
      <c r="I150"/>
      <c r="J150"/>
      <c r="K150"/>
    </row>
    <row r="151" spans="1:11" ht="15">
      <c r="A151" s="11" t="s">
        <v>129</v>
      </c>
      <c r="B151" s="4">
        <f>VLOOKUP(Vlookup!$B116,'CDCM Volume Forecasts'!$A$27:$AG$123,B$137,FALSE)</f>
        <v>3613.1440975729997</v>
      </c>
      <c r="C151" s="8">
        <f>VLOOKUP(Vlookup!$B116,'CDCM Volume Forecasts'!$A$27:$AG$123,C$137,FALSE)</f>
        <v>0</v>
      </c>
      <c r="D151" s="8">
        <f>VLOOKUP(Vlookup!$B116,'CDCM Volume Forecasts'!$A$27:$AG$123,D$137,FALSE)</f>
        <v>0</v>
      </c>
      <c r="E151" s="14">
        <f>VLOOKUP(Vlookup!$B116,'CDCM Volume Forecasts'!$A$27:$AG$123,E$137,FALSE)</f>
        <v>0</v>
      </c>
      <c r="F151" s="8">
        <f>VLOOKUP(Vlookup!$B116,'CDCM Volume Forecasts'!$A$27:$AG$123,F$137,FALSE)</f>
        <v>0</v>
      </c>
      <c r="G151" s="8">
        <f>VLOOKUP(Vlookup!$B116,'CDCM Volume Forecasts'!$A$27:$AG$123,G$137,FALSE)</f>
        <v>0</v>
      </c>
      <c r="H151" s="10"/>
      <c r="I151"/>
      <c r="J151"/>
      <c r="K151"/>
    </row>
    <row r="152" spans="1:11" ht="15">
      <c r="A152" s="11" t="s">
        <v>153</v>
      </c>
      <c r="B152" s="4">
        <f>VLOOKUP(Vlookup!$B117,'CDCM Volume Forecasts'!$A$27:$AG$123,B$137,FALSE)</f>
        <v>0</v>
      </c>
      <c r="C152" s="8">
        <f>VLOOKUP(Vlookup!$B117,'CDCM Volume Forecasts'!$A$27:$AG$123,C$137,FALSE)</f>
        <v>0</v>
      </c>
      <c r="D152" s="8">
        <f>VLOOKUP(Vlookup!$B117,'CDCM Volume Forecasts'!$A$27:$AG$123,D$137,FALSE)</f>
        <v>0</v>
      </c>
      <c r="E152" s="14">
        <f>VLOOKUP(Vlookup!$B117,'CDCM Volume Forecasts'!$A$27:$AG$123,E$137,FALSE)</f>
        <v>0</v>
      </c>
      <c r="F152" s="8">
        <f>VLOOKUP(Vlookup!$B117,'CDCM Volume Forecasts'!$A$27:$AG$123,F$137,FALSE)</f>
        <v>0</v>
      </c>
      <c r="G152" s="8">
        <f>VLOOKUP(Vlookup!$B117,'CDCM Volume Forecasts'!$A$27:$AG$123,G$137,FALSE)</f>
        <v>0</v>
      </c>
      <c r="H152" s="10"/>
      <c r="I152"/>
      <c r="J152"/>
      <c r="K152"/>
    </row>
    <row r="153" spans="1:11" ht="15">
      <c r="A153" s="11" t="s">
        <v>154</v>
      </c>
      <c r="B153" s="4">
        <f>VLOOKUP(Vlookup!$B118,'CDCM Volume Forecasts'!$A$27:$AG$123,B$137,FALSE)</f>
        <v>0</v>
      </c>
      <c r="C153" s="8">
        <f>VLOOKUP(Vlookup!$B118,'CDCM Volume Forecasts'!$A$27:$AG$123,C$137,FALSE)</f>
        <v>0</v>
      </c>
      <c r="D153" s="8">
        <f>VLOOKUP(Vlookup!$B118,'CDCM Volume Forecasts'!$A$27:$AG$123,D$137,FALSE)</f>
        <v>0</v>
      </c>
      <c r="E153" s="14">
        <f>VLOOKUP(Vlookup!$B118,'CDCM Volume Forecasts'!$A$27:$AG$123,E$137,FALSE)</f>
        <v>0</v>
      </c>
      <c r="F153" s="8">
        <f>VLOOKUP(Vlookup!$B118,'CDCM Volume Forecasts'!$A$27:$AG$123,F$137,FALSE)</f>
        <v>0</v>
      </c>
      <c r="G153" s="8">
        <f>VLOOKUP(Vlookup!$B118,'CDCM Volume Forecasts'!$A$27:$AG$123,G$137,FALSE)</f>
        <v>0</v>
      </c>
      <c r="H153" s="10"/>
      <c r="I153"/>
      <c r="J153"/>
      <c r="K153"/>
    </row>
    <row r="154" spans="1:11" ht="15">
      <c r="A154" s="17" t="s">
        <v>155</v>
      </c>
      <c r="B154" s="18">
        <f>VLOOKUP(Vlookup!$B119,'CDCM Volume Forecasts'!$A$27:$AG$123,B$137,FALSE)</f>
        <v>0</v>
      </c>
      <c r="C154" s="18">
        <f>VLOOKUP(Vlookup!$B119,'CDCM Volume Forecasts'!$A$27:$AG$123,C$137,FALSE)</f>
        <v>0</v>
      </c>
      <c r="D154" s="18">
        <f>VLOOKUP(Vlookup!$B119,'CDCM Volume Forecasts'!$A$27:$AG$123,D$137,FALSE)</f>
        <v>0</v>
      </c>
      <c r="E154" s="18">
        <f>VLOOKUP(Vlookup!$B119,'CDCM Volume Forecasts'!$A$27:$AG$123,E$137,FALSE)</f>
        <v>0</v>
      </c>
      <c r="F154" s="18">
        <f>VLOOKUP(Vlookup!$B119,'CDCM Volume Forecasts'!$A$27:$AG$123,F$137,FALSE)</f>
        <v>0</v>
      </c>
      <c r="G154" s="18">
        <f>VLOOKUP(Vlookup!$B119,'CDCM Volume Forecasts'!$A$27:$AG$123,G$137,FALSE)</f>
        <v>0</v>
      </c>
      <c r="H154" s="10"/>
      <c r="I154"/>
      <c r="J154"/>
      <c r="K154"/>
    </row>
    <row r="155" spans="1:11" ht="15">
      <c r="A155" s="11" t="s">
        <v>94</v>
      </c>
      <c r="B155" s="4">
        <f>VLOOKUP(Vlookup!$B120,'CDCM Volume Forecasts'!$A$27:$AG$123,B$137,FALSE)</f>
        <v>823197.95863007847</v>
      </c>
      <c r="C155" s="8">
        <f>VLOOKUP(Vlookup!$B120,'CDCM Volume Forecasts'!$A$27:$AG$123,C$137,FALSE)</f>
        <v>0</v>
      </c>
      <c r="D155" s="8">
        <f>VLOOKUP(Vlookup!$B120,'CDCM Volume Forecasts'!$A$27:$AG$123,D$137,FALSE)</f>
        <v>0</v>
      </c>
      <c r="E155" s="14">
        <f>VLOOKUP(Vlookup!$B120,'CDCM Volume Forecasts'!$A$27:$AG$123,E$137,FALSE)</f>
        <v>63787</v>
      </c>
      <c r="F155" s="8">
        <f>VLOOKUP(Vlookup!$B120,'CDCM Volume Forecasts'!$A$27:$AG$123,F$137,FALSE)</f>
        <v>0</v>
      </c>
      <c r="G155" s="8">
        <f>VLOOKUP(Vlookup!$B120,'CDCM Volume Forecasts'!$A$27:$AG$123,G$137,FALSE)</f>
        <v>0</v>
      </c>
      <c r="H155" s="10"/>
      <c r="I155"/>
      <c r="J155"/>
      <c r="K155"/>
    </row>
    <row r="156" spans="1:11" ht="15">
      <c r="A156" s="11" t="s">
        <v>156</v>
      </c>
      <c r="B156" s="4">
        <f>VLOOKUP(Vlookup!$B121,'CDCM Volume Forecasts'!$A$27:$AG$123,B$137,FALSE)</f>
        <v>56.743614639178105</v>
      </c>
      <c r="C156" s="8">
        <f>VLOOKUP(Vlookup!$B121,'CDCM Volume Forecasts'!$A$27:$AG$123,C$137,FALSE)</f>
        <v>0</v>
      </c>
      <c r="D156" s="8">
        <f>VLOOKUP(Vlookup!$B121,'CDCM Volume Forecasts'!$A$27:$AG$123,D$137,FALSE)</f>
        <v>0</v>
      </c>
      <c r="E156" s="14">
        <f>VLOOKUP(Vlookup!$B121,'CDCM Volume Forecasts'!$A$27:$AG$123,E$137,FALSE)</f>
        <v>4</v>
      </c>
      <c r="F156" s="8">
        <f>VLOOKUP(Vlookup!$B121,'CDCM Volume Forecasts'!$A$27:$AG$123,F$137,FALSE)</f>
        <v>0</v>
      </c>
      <c r="G156" s="8">
        <f>VLOOKUP(Vlookup!$B121,'CDCM Volume Forecasts'!$A$27:$AG$123,G$137,FALSE)</f>
        <v>0</v>
      </c>
      <c r="H156" s="10"/>
      <c r="I156"/>
      <c r="J156"/>
      <c r="K156"/>
    </row>
    <row r="157" spans="1:11" ht="15">
      <c r="A157" s="11" t="s">
        <v>157</v>
      </c>
      <c r="B157" s="4">
        <f>VLOOKUP(Vlookup!$B122,'CDCM Volume Forecasts'!$A$27:$AG$123,B$137,FALSE)</f>
        <v>2717.0896874333912</v>
      </c>
      <c r="C157" s="8">
        <f>VLOOKUP(Vlookup!$B122,'CDCM Volume Forecasts'!$A$27:$AG$123,C$137,FALSE)</f>
        <v>0</v>
      </c>
      <c r="D157" s="8">
        <f>VLOOKUP(Vlookup!$B122,'CDCM Volume Forecasts'!$A$27:$AG$123,D$137,FALSE)</f>
        <v>0</v>
      </c>
      <c r="E157" s="14">
        <f>VLOOKUP(Vlookup!$B122,'CDCM Volume Forecasts'!$A$27:$AG$123,E$137,FALSE)</f>
        <v>110</v>
      </c>
      <c r="F157" s="8">
        <f>VLOOKUP(Vlookup!$B122,'CDCM Volume Forecasts'!$A$27:$AG$123,F$137,FALSE)</f>
        <v>0</v>
      </c>
      <c r="G157" s="8">
        <f>VLOOKUP(Vlookup!$B122,'CDCM Volume Forecasts'!$A$27:$AG$123,G$137,FALSE)</f>
        <v>0</v>
      </c>
      <c r="H157" s="10"/>
      <c r="I157"/>
      <c r="J157"/>
      <c r="K157"/>
    </row>
    <row r="158" spans="1:11" ht="15">
      <c r="A158" s="17" t="s">
        <v>158</v>
      </c>
      <c r="B158" s="18">
        <f>VLOOKUP(Vlookup!$B123,'CDCM Volume Forecasts'!$A$27:$AG$123,B$137,FALSE)</f>
        <v>0</v>
      </c>
      <c r="C158" s="18">
        <f>VLOOKUP(Vlookup!$B123,'CDCM Volume Forecasts'!$A$27:$AG$123,C$137,FALSE)</f>
        <v>0</v>
      </c>
      <c r="D158" s="18">
        <f>VLOOKUP(Vlookup!$B123,'CDCM Volume Forecasts'!$A$27:$AG$123,D$137,FALSE)</f>
        <v>0</v>
      </c>
      <c r="E158" s="18">
        <f>VLOOKUP(Vlookup!$B123,'CDCM Volume Forecasts'!$A$27:$AG$123,E$137,FALSE)</f>
        <v>0</v>
      </c>
      <c r="F158" s="18">
        <f>VLOOKUP(Vlookup!$B123,'CDCM Volume Forecasts'!$A$27:$AG$123,F$137,FALSE)</f>
        <v>0</v>
      </c>
      <c r="G158" s="18">
        <f>VLOOKUP(Vlookup!$B123,'CDCM Volume Forecasts'!$A$27:$AG$123,G$137,FALSE)</f>
        <v>0</v>
      </c>
      <c r="H158" s="10"/>
      <c r="I158"/>
      <c r="J158"/>
      <c r="K158"/>
    </row>
    <row r="159" spans="1:11" ht="15">
      <c r="A159" s="11" t="s">
        <v>95</v>
      </c>
      <c r="B159" s="4">
        <f>VLOOKUP(Vlookup!$B124,'CDCM Volume Forecasts'!$A$27:$AG$123,B$137,FALSE)</f>
        <v>206801.40932707267</v>
      </c>
      <c r="C159" s="4">
        <f>VLOOKUP(Vlookup!$B124,'CDCM Volume Forecasts'!$A$27:$AG$123,C$137,FALSE)</f>
        <v>92825.537560705707</v>
      </c>
      <c r="D159" s="8">
        <f>VLOOKUP(Vlookup!$B124,'CDCM Volume Forecasts'!$A$27:$AG$123,D$137,FALSE)</f>
        <v>0</v>
      </c>
      <c r="E159" s="14">
        <f>VLOOKUP(Vlookup!$B124,'CDCM Volume Forecasts'!$A$27:$AG$123,E$137,FALSE)</f>
        <v>13441</v>
      </c>
      <c r="F159" s="8">
        <f>VLOOKUP(Vlookup!$B124,'CDCM Volume Forecasts'!$A$27:$AG$123,F$137,FALSE)</f>
        <v>0</v>
      </c>
      <c r="G159" s="8">
        <f>VLOOKUP(Vlookup!$B124,'CDCM Volume Forecasts'!$A$27:$AG$123,G$137,FALSE)</f>
        <v>0</v>
      </c>
      <c r="H159" s="10"/>
      <c r="I159"/>
      <c r="J159"/>
      <c r="K159"/>
    </row>
    <row r="160" spans="1:11" ht="15">
      <c r="A160" s="11" t="s">
        <v>159</v>
      </c>
      <c r="B160" s="4">
        <f>VLOOKUP(Vlookup!$B125,'CDCM Volume Forecasts'!$A$27:$AG$123,B$137,FALSE)</f>
        <v>0</v>
      </c>
      <c r="C160" s="4">
        <f>VLOOKUP(Vlookup!$B125,'CDCM Volume Forecasts'!$A$27:$AG$123,C$137,FALSE)</f>
        <v>0</v>
      </c>
      <c r="D160" s="8">
        <f>VLOOKUP(Vlookup!$B125,'CDCM Volume Forecasts'!$A$27:$AG$123,D$137,FALSE)</f>
        <v>0</v>
      </c>
      <c r="E160" s="14">
        <f>VLOOKUP(Vlookup!$B125,'CDCM Volume Forecasts'!$A$27:$AG$123,E$137,FALSE)</f>
        <v>0</v>
      </c>
      <c r="F160" s="8">
        <f>VLOOKUP(Vlookup!$B125,'CDCM Volume Forecasts'!$A$27:$AG$123,F$137,FALSE)</f>
        <v>0</v>
      </c>
      <c r="G160" s="8">
        <f>VLOOKUP(Vlookup!$B125,'CDCM Volume Forecasts'!$A$27:$AG$123,G$137,FALSE)</f>
        <v>0</v>
      </c>
      <c r="H160" s="10"/>
      <c r="I160"/>
      <c r="J160"/>
      <c r="K160"/>
    </row>
    <row r="161" spans="1:11" ht="15">
      <c r="A161" s="11" t="s">
        <v>160</v>
      </c>
      <c r="B161" s="4">
        <f>VLOOKUP(Vlookup!$B126,'CDCM Volume Forecasts'!$A$27:$AG$123,B$137,FALSE)</f>
        <v>845.42130757211385</v>
      </c>
      <c r="C161" s="4">
        <f>VLOOKUP(Vlookup!$B126,'CDCM Volume Forecasts'!$A$27:$AG$123,C$137,FALSE)</f>
        <v>110.3044954465786</v>
      </c>
      <c r="D161" s="8">
        <f>VLOOKUP(Vlookup!$B126,'CDCM Volume Forecasts'!$A$27:$AG$123,D$137,FALSE)</f>
        <v>0</v>
      </c>
      <c r="E161" s="14">
        <f>VLOOKUP(Vlookup!$B126,'CDCM Volume Forecasts'!$A$27:$AG$123,E$137,FALSE)</f>
        <v>9</v>
      </c>
      <c r="F161" s="8">
        <f>VLOOKUP(Vlookup!$B126,'CDCM Volume Forecasts'!$A$27:$AG$123,F$137,FALSE)</f>
        <v>0</v>
      </c>
      <c r="G161" s="8">
        <f>VLOOKUP(Vlookup!$B126,'CDCM Volume Forecasts'!$A$27:$AG$123,G$137,FALSE)</f>
        <v>0</v>
      </c>
      <c r="H161" s="10"/>
      <c r="I161"/>
      <c r="J161"/>
      <c r="K161"/>
    </row>
    <row r="162" spans="1:11" ht="15">
      <c r="A162" s="17" t="s">
        <v>161</v>
      </c>
      <c r="B162" s="18">
        <f>VLOOKUP(Vlookup!$B127,'CDCM Volume Forecasts'!$A$27:$AG$123,B$137,FALSE)</f>
        <v>0</v>
      </c>
      <c r="C162" s="18">
        <f>VLOOKUP(Vlookup!$B127,'CDCM Volume Forecasts'!$A$27:$AG$123,C$137,FALSE)</f>
        <v>0</v>
      </c>
      <c r="D162" s="18">
        <f>VLOOKUP(Vlookup!$B127,'CDCM Volume Forecasts'!$A$27:$AG$123,D$137,FALSE)</f>
        <v>0</v>
      </c>
      <c r="E162" s="18">
        <f>VLOOKUP(Vlookup!$B127,'CDCM Volume Forecasts'!$A$27:$AG$123,E$137,FALSE)</f>
        <v>0</v>
      </c>
      <c r="F162" s="18">
        <f>VLOOKUP(Vlookup!$B127,'CDCM Volume Forecasts'!$A$27:$AG$123,F$137,FALSE)</f>
        <v>0</v>
      </c>
      <c r="G162" s="18">
        <f>VLOOKUP(Vlookup!$B127,'CDCM Volume Forecasts'!$A$27:$AG$123,G$137,FALSE)</f>
        <v>0</v>
      </c>
      <c r="H162" s="10"/>
      <c r="I162"/>
      <c r="J162"/>
      <c r="K162"/>
    </row>
    <row r="163" spans="1:11" ht="15">
      <c r="A163" s="11" t="s">
        <v>130</v>
      </c>
      <c r="B163" s="4">
        <f>VLOOKUP(Vlookup!$B128,'CDCM Volume Forecasts'!$A$27:$AG$123,B$137,FALSE)</f>
        <v>2262.2093594051807</v>
      </c>
      <c r="C163" s="8">
        <f>VLOOKUP(Vlookup!$B128,'CDCM Volume Forecasts'!$A$27:$AG$123,C$137,FALSE)</f>
        <v>0</v>
      </c>
      <c r="D163" s="8">
        <f>VLOOKUP(Vlookup!$B128,'CDCM Volume Forecasts'!$A$27:$AG$123,D$137,FALSE)</f>
        <v>0</v>
      </c>
      <c r="E163" s="14">
        <f>VLOOKUP(Vlookup!$B128,'CDCM Volume Forecasts'!$A$27:$AG$123,E$137,FALSE)</f>
        <v>0</v>
      </c>
      <c r="F163" s="8">
        <f>VLOOKUP(Vlookup!$B128,'CDCM Volume Forecasts'!$A$27:$AG$123,F$137,FALSE)</f>
        <v>0</v>
      </c>
      <c r="G163" s="8">
        <f>VLOOKUP(Vlookup!$B128,'CDCM Volume Forecasts'!$A$27:$AG$123,G$137,FALSE)</f>
        <v>0</v>
      </c>
      <c r="H163" s="10"/>
      <c r="I163"/>
      <c r="J163"/>
      <c r="K163"/>
    </row>
    <row r="164" spans="1:11" ht="30">
      <c r="A164" s="11" t="s">
        <v>162</v>
      </c>
      <c r="B164" s="4">
        <f>VLOOKUP(Vlookup!$B129,'CDCM Volume Forecasts'!$A$27:$AG$123,B$137,FALSE)</f>
        <v>0</v>
      </c>
      <c r="C164" s="8">
        <f>VLOOKUP(Vlookup!$B129,'CDCM Volume Forecasts'!$A$27:$AG$123,C$137,FALSE)</f>
        <v>0</v>
      </c>
      <c r="D164" s="8">
        <f>VLOOKUP(Vlookup!$B129,'CDCM Volume Forecasts'!$A$27:$AG$123,D$137,FALSE)</f>
        <v>0</v>
      </c>
      <c r="E164" s="14">
        <f>VLOOKUP(Vlookup!$B129,'CDCM Volume Forecasts'!$A$27:$AG$123,E$137,FALSE)</f>
        <v>0</v>
      </c>
      <c r="F164" s="8">
        <f>VLOOKUP(Vlookup!$B129,'CDCM Volume Forecasts'!$A$27:$AG$123,F$137,FALSE)</f>
        <v>0</v>
      </c>
      <c r="G164" s="8">
        <f>VLOOKUP(Vlookup!$B129,'CDCM Volume Forecasts'!$A$27:$AG$123,G$137,FALSE)</f>
        <v>0</v>
      </c>
      <c r="H164" s="10"/>
      <c r="I164"/>
      <c r="J164"/>
      <c r="K164"/>
    </row>
    <row r="165" spans="1:11" ht="30">
      <c r="A165" s="11" t="s">
        <v>163</v>
      </c>
      <c r="B165" s="4">
        <f>VLOOKUP(Vlookup!$B130,'CDCM Volume Forecasts'!$A$27:$AG$123,B$137,FALSE)</f>
        <v>0</v>
      </c>
      <c r="C165" s="8">
        <f>VLOOKUP(Vlookup!$B130,'CDCM Volume Forecasts'!$A$27:$AG$123,C$137,FALSE)</f>
        <v>0</v>
      </c>
      <c r="D165" s="8">
        <f>VLOOKUP(Vlookup!$B130,'CDCM Volume Forecasts'!$A$27:$AG$123,D$137,FALSE)</f>
        <v>0</v>
      </c>
      <c r="E165" s="14">
        <f>VLOOKUP(Vlookup!$B130,'CDCM Volume Forecasts'!$A$27:$AG$123,E$137,FALSE)</f>
        <v>0</v>
      </c>
      <c r="F165" s="8">
        <f>VLOOKUP(Vlookup!$B130,'CDCM Volume Forecasts'!$A$27:$AG$123,F$137,FALSE)</f>
        <v>0</v>
      </c>
      <c r="G165" s="8">
        <f>VLOOKUP(Vlookup!$B130,'CDCM Volume Forecasts'!$A$27:$AG$123,G$137,FALSE)</f>
        <v>0</v>
      </c>
      <c r="H165" s="10"/>
      <c r="I165"/>
      <c r="J165"/>
      <c r="K165"/>
    </row>
    <row r="166" spans="1:11" ht="15">
      <c r="A166" s="17" t="s">
        <v>164</v>
      </c>
      <c r="B166" s="18">
        <f>VLOOKUP(Vlookup!$B131,'CDCM Volume Forecasts'!$A$27:$AG$123,B$137,FALSE)</f>
        <v>0</v>
      </c>
      <c r="C166" s="18">
        <f>VLOOKUP(Vlookup!$B131,'CDCM Volume Forecasts'!$A$27:$AG$123,C$137,FALSE)</f>
        <v>0</v>
      </c>
      <c r="D166" s="18">
        <f>VLOOKUP(Vlookup!$B131,'CDCM Volume Forecasts'!$A$27:$AG$123,D$137,FALSE)</f>
        <v>0</v>
      </c>
      <c r="E166" s="18">
        <f>VLOOKUP(Vlookup!$B131,'CDCM Volume Forecasts'!$A$27:$AG$123,E$137,FALSE)</f>
        <v>0</v>
      </c>
      <c r="F166" s="18">
        <f>VLOOKUP(Vlookup!$B131,'CDCM Volume Forecasts'!$A$27:$AG$123,F$137,FALSE)</f>
        <v>0</v>
      </c>
      <c r="G166" s="18">
        <f>VLOOKUP(Vlookup!$B131,'CDCM Volume Forecasts'!$A$27:$AG$123,G$137,FALSE)</f>
        <v>0</v>
      </c>
      <c r="H166" s="10"/>
      <c r="I166"/>
      <c r="J166"/>
      <c r="K166"/>
    </row>
    <row r="167" spans="1:11" ht="15">
      <c r="A167" s="11" t="s">
        <v>96</v>
      </c>
      <c r="B167" s="4">
        <f>VLOOKUP(Vlookup!$B132,'CDCM Volume Forecasts'!$A$27:$AG$123,B$137,FALSE)</f>
        <v>379857.67107737559</v>
      </c>
      <c r="C167" s="4">
        <f>VLOOKUP(Vlookup!$B132,'CDCM Volume Forecasts'!$A$27:$AG$123,C$137,FALSE)</f>
        <v>99896.639824048034</v>
      </c>
      <c r="D167" s="8">
        <f>VLOOKUP(Vlookup!$B132,'CDCM Volume Forecasts'!$A$27:$AG$123,D$137,FALSE)</f>
        <v>0</v>
      </c>
      <c r="E167" s="14">
        <f>VLOOKUP(Vlookup!$B132,'CDCM Volume Forecasts'!$A$27:$AG$123,E$137,FALSE)</f>
        <v>4728</v>
      </c>
      <c r="F167" s="8">
        <f>VLOOKUP(Vlookup!$B132,'CDCM Volume Forecasts'!$A$27:$AG$123,F$137,FALSE)</f>
        <v>0</v>
      </c>
      <c r="G167" s="8">
        <f>VLOOKUP(Vlookup!$B132,'CDCM Volume Forecasts'!$A$27:$AG$123,G$137,FALSE)</f>
        <v>0</v>
      </c>
      <c r="H167" s="10"/>
      <c r="I167"/>
      <c r="J167"/>
      <c r="K167"/>
    </row>
    <row r="168" spans="1:11" ht="15">
      <c r="A168" s="11" t="s">
        <v>165</v>
      </c>
      <c r="B168" s="4">
        <f>VLOOKUP(Vlookup!$B133,'CDCM Volume Forecasts'!$A$27:$AG$123,B$137,FALSE)</f>
        <v>0</v>
      </c>
      <c r="C168" s="4">
        <f>VLOOKUP(Vlookup!$B133,'CDCM Volume Forecasts'!$A$27:$AG$123,C$137,FALSE)</f>
        <v>0</v>
      </c>
      <c r="D168" s="8">
        <f>VLOOKUP(Vlookup!$B133,'CDCM Volume Forecasts'!$A$27:$AG$123,D$137,FALSE)</f>
        <v>0</v>
      </c>
      <c r="E168" s="14">
        <f>VLOOKUP(Vlookup!$B133,'CDCM Volume Forecasts'!$A$27:$AG$123,E$137,FALSE)</f>
        <v>0</v>
      </c>
      <c r="F168" s="8">
        <f>VLOOKUP(Vlookup!$B133,'CDCM Volume Forecasts'!$A$27:$AG$123,F$137,FALSE)</f>
        <v>0</v>
      </c>
      <c r="G168" s="8">
        <f>VLOOKUP(Vlookup!$B133,'CDCM Volume Forecasts'!$A$27:$AG$123,G$137,FALSE)</f>
        <v>0</v>
      </c>
      <c r="H168" s="10"/>
      <c r="I168"/>
      <c r="J168"/>
      <c r="K168"/>
    </row>
    <row r="169" spans="1:11" ht="15">
      <c r="A169" s="11" t="s">
        <v>166</v>
      </c>
      <c r="B169" s="4">
        <f>VLOOKUP(Vlookup!$B134,'CDCM Volume Forecasts'!$A$27:$AG$123,B$137,FALSE)</f>
        <v>1094.445243350247</v>
      </c>
      <c r="C169" s="4">
        <f>VLOOKUP(Vlookup!$B134,'CDCM Volume Forecasts'!$A$27:$AG$123,C$137,FALSE)</f>
        <v>144.85382852920503</v>
      </c>
      <c r="D169" s="8">
        <f>VLOOKUP(Vlookup!$B134,'CDCM Volume Forecasts'!$A$27:$AG$123,D$137,FALSE)</f>
        <v>0</v>
      </c>
      <c r="E169" s="14">
        <f>VLOOKUP(Vlookup!$B134,'CDCM Volume Forecasts'!$A$27:$AG$123,E$137,FALSE)</f>
        <v>10</v>
      </c>
      <c r="F169" s="8">
        <f>VLOOKUP(Vlookup!$B134,'CDCM Volume Forecasts'!$A$27:$AG$123,F$137,FALSE)</f>
        <v>0</v>
      </c>
      <c r="G169" s="8">
        <f>VLOOKUP(Vlookup!$B134,'CDCM Volume Forecasts'!$A$27:$AG$123,G$137,FALSE)</f>
        <v>0</v>
      </c>
      <c r="H169" s="10"/>
      <c r="I169"/>
      <c r="J169"/>
      <c r="K169"/>
    </row>
    <row r="170" spans="1:11" ht="15">
      <c r="A170" s="17" t="s">
        <v>167</v>
      </c>
      <c r="B170" s="18">
        <f>VLOOKUP(Vlookup!$B135,'CDCM Volume Forecasts'!$A$27:$AG$123,B$137,FALSE)</f>
        <v>0</v>
      </c>
      <c r="C170" s="18">
        <f>VLOOKUP(Vlookup!$B135,'CDCM Volume Forecasts'!$A$27:$AG$123,C$137,FALSE)</f>
        <v>0</v>
      </c>
      <c r="D170" s="18">
        <f>VLOOKUP(Vlookup!$B135,'CDCM Volume Forecasts'!$A$27:$AG$123,D$137,FALSE)</f>
        <v>0</v>
      </c>
      <c r="E170" s="18">
        <f>VLOOKUP(Vlookup!$B135,'CDCM Volume Forecasts'!$A$27:$AG$123,E$137,FALSE)</f>
        <v>0</v>
      </c>
      <c r="F170" s="18">
        <f>VLOOKUP(Vlookup!$B135,'CDCM Volume Forecasts'!$A$27:$AG$123,F$137,FALSE)</f>
        <v>0</v>
      </c>
      <c r="G170" s="18">
        <f>VLOOKUP(Vlookup!$B135,'CDCM Volume Forecasts'!$A$27:$AG$123,G$137,FALSE)</f>
        <v>0</v>
      </c>
      <c r="H170" s="10"/>
      <c r="I170"/>
      <c r="J170"/>
      <c r="K170"/>
    </row>
    <row r="171" spans="1:11" ht="15">
      <c r="A171" s="11" t="s">
        <v>97</v>
      </c>
      <c r="B171" s="4">
        <f>VLOOKUP(Vlookup!$B136,'CDCM Volume Forecasts'!$A$27:$AG$123,B$137,FALSE)</f>
        <v>517.04045501631606</v>
      </c>
      <c r="C171" s="4">
        <f>VLOOKUP(Vlookup!$B136,'CDCM Volume Forecasts'!$A$27:$AG$123,C$137,FALSE)</f>
        <v>136.89783135294002</v>
      </c>
      <c r="D171" s="8">
        <f>VLOOKUP(Vlookup!$B136,'CDCM Volume Forecasts'!$A$27:$AG$123,D$137,FALSE)</f>
        <v>0</v>
      </c>
      <c r="E171" s="14">
        <f>VLOOKUP(Vlookup!$B136,'CDCM Volume Forecasts'!$A$27:$AG$123,E$137,FALSE)</f>
        <v>4</v>
      </c>
      <c r="F171" s="8">
        <f>VLOOKUP(Vlookup!$B136,'CDCM Volume Forecasts'!$A$27:$AG$123,F$137,FALSE)</f>
        <v>0</v>
      </c>
      <c r="G171" s="8">
        <f>VLOOKUP(Vlookup!$B136,'CDCM Volume Forecasts'!$A$27:$AG$123,G$137,FALSE)</f>
        <v>0</v>
      </c>
      <c r="H171" s="10"/>
      <c r="I171"/>
      <c r="J171"/>
      <c r="K171"/>
    </row>
    <row r="172" spans="1:11" ht="15">
      <c r="A172" s="17" t="s">
        <v>168</v>
      </c>
      <c r="B172" s="18">
        <f>VLOOKUP(Vlookup!$B137,'CDCM Volume Forecasts'!$A$27:$AG$123,B$137,FALSE)</f>
        <v>0</v>
      </c>
      <c r="C172" s="18">
        <f>VLOOKUP(Vlookup!$B137,'CDCM Volume Forecasts'!$A$27:$AG$123,C$137,FALSE)</f>
        <v>0</v>
      </c>
      <c r="D172" s="18">
        <f>VLOOKUP(Vlookup!$B137,'CDCM Volume Forecasts'!$A$27:$AG$123,D$137,FALSE)</f>
        <v>0</v>
      </c>
      <c r="E172" s="18">
        <f>VLOOKUP(Vlookup!$B137,'CDCM Volume Forecasts'!$A$27:$AG$123,E$137,FALSE)</f>
        <v>0</v>
      </c>
      <c r="F172" s="18">
        <f>VLOOKUP(Vlookup!$B137,'CDCM Volume Forecasts'!$A$27:$AG$123,F$137,FALSE)</f>
        <v>0</v>
      </c>
      <c r="G172" s="18">
        <f>VLOOKUP(Vlookup!$B137,'CDCM Volume Forecasts'!$A$27:$AG$123,G$137,FALSE)</f>
        <v>0</v>
      </c>
      <c r="H172" s="10"/>
      <c r="I172"/>
      <c r="J172"/>
      <c r="K172"/>
    </row>
    <row r="173" spans="1:11" ht="15">
      <c r="A173" s="11" t="s">
        <v>110</v>
      </c>
      <c r="B173" s="4">
        <f>VLOOKUP(Vlookup!$B138,'CDCM Volume Forecasts'!$A$27:$AG$123,B$137,FALSE)</f>
        <v>753.60754258070392</v>
      </c>
      <c r="C173" s="4">
        <f>VLOOKUP(Vlookup!$B138,'CDCM Volume Forecasts'!$A$27:$AG$123,C$137,FALSE)</f>
        <v>161.59553674706402</v>
      </c>
      <c r="D173" s="8">
        <f>VLOOKUP(Vlookup!$B138,'CDCM Volume Forecasts'!$A$27:$AG$123,D$137,FALSE)</f>
        <v>0</v>
      </c>
      <c r="E173" s="14">
        <f>VLOOKUP(Vlookup!$B138,'CDCM Volume Forecasts'!$A$27:$AG$123,E$137,FALSE)</f>
        <v>13</v>
      </c>
      <c r="F173" s="8">
        <f>VLOOKUP(Vlookup!$B138,'CDCM Volume Forecasts'!$A$27:$AG$123,F$137,FALSE)</f>
        <v>0</v>
      </c>
      <c r="G173" s="8">
        <f>VLOOKUP(Vlookup!$B138,'CDCM Volume Forecasts'!$A$27:$AG$123,G$137,FALSE)</f>
        <v>0</v>
      </c>
      <c r="H173" s="10"/>
      <c r="I173"/>
      <c r="J173"/>
      <c r="K173"/>
    </row>
    <row r="174" spans="1:11" ht="15">
      <c r="A174" s="17" t="s">
        <v>1650</v>
      </c>
      <c r="B174" s="18">
        <f>VLOOKUP(Vlookup!$B139,'CDCM Volume Forecasts'!$A$27:$AG$123,B$137,FALSE)</f>
        <v>0</v>
      </c>
      <c r="C174" s="18">
        <f>VLOOKUP(Vlookup!$B139,'CDCM Volume Forecasts'!$A$27:$AG$123,C$137,FALSE)</f>
        <v>0</v>
      </c>
      <c r="D174" s="18">
        <f>VLOOKUP(Vlookup!$B139,'CDCM Volume Forecasts'!$A$27:$AG$123,D$137,FALSE)</f>
        <v>0</v>
      </c>
      <c r="E174" s="18">
        <f>VLOOKUP(Vlookup!$B139,'CDCM Volume Forecasts'!$A$27:$AG$123,E$137,FALSE)</f>
        <v>0</v>
      </c>
      <c r="F174" s="18">
        <f>VLOOKUP(Vlookup!$B139,'CDCM Volume Forecasts'!$A$27:$AG$123,F$137,FALSE)</f>
        <v>0</v>
      </c>
      <c r="G174" s="18">
        <f>VLOOKUP(Vlookup!$B139,'CDCM Volume Forecasts'!$A$27:$AG$123,G$137,FALSE)</f>
        <v>0</v>
      </c>
      <c r="H174" s="10"/>
      <c r="I174"/>
      <c r="J174"/>
      <c r="K174"/>
    </row>
    <row r="175" spans="1:11" ht="15">
      <c r="A175" s="11" t="s">
        <v>1647</v>
      </c>
      <c r="B175" s="4">
        <f>VLOOKUP(Vlookup!$B140,'CDCM Volume Forecasts'!$A$27:$AG$123,B$137,FALSE)</f>
        <v>0</v>
      </c>
      <c r="C175" s="4">
        <f>VLOOKUP(Vlookup!$B140,'CDCM Volume Forecasts'!$A$27:$AG$123,C$137,FALSE)</f>
        <v>0</v>
      </c>
      <c r="D175" s="4">
        <f>VLOOKUP(Vlookup!$B140,'CDCM Volume Forecasts'!$A$27:$AG$123,D$137,FALSE)</f>
        <v>0</v>
      </c>
      <c r="E175" s="14">
        <f>VLOOKUP(Vlookup!$B140,'CDCM Volume Forecasts'!$A$27:$AG$123,E$137,FALSE)</f>
        <v>0</v>
      </c>
      <c r="F175" s="8">
        <f>VLOOKUP(Vlookup!$B140,'CDCM Volume Forecasts'!$A$27:$AG$123,F$137,FALSE)</f>
        <v>0</v>
      </c>
      <c r="G175" s="8">
        <f>VLOOKUP(Vlookup!$B140,'CDCM Volume Forecasts'!$A$27:$AG$123,G$137,FALSE)</f>
        <v>0</v>
      </c>
      <c r="H175" s="10"/>
      <c r="I175"/>
      <c r="J175"/>
      <c r="K175"/>
    </row>
    <row r="176" spans="1:11" ht="15">
      <c r="A176" s="11" t="s">
        <v>1644</v>
      </c>
      <c r="B176" s="4">
        <f>VLOOKUP(Vlookup!$B141,'CDCM Volume Forecasts'!$A$27:$AG$123,B$137,FALSE)</f>
        <v>0</v>
      </c>
      <c r="C176" s="4">
        <f>VLOOKUP(Vlookup!$B141,'CDCM Volume Forecasts'!$A$27:$AG$123,C$137,FALSE)</f>
        <v>0</v>
      </c>
      <c r="D176" s="4">
        <f>VLOOKUP(Vlookup!$B141,'CDCM Volume Forecasts'!$A$27:$AG$123,D$137,FALSE)</f>
        <v>0</v>
      </c>
      <c r="E176" s="14">
        <f>VLOOKUP(Vlookup!$B141,'CDCM Volume Forecasts'!$A$27:$AG$123,E$137,FALSE)</f>
        <v>0</v>
      </c>
      <c r="F176" s="8">
        <f>VLOOKUP(Vlookup!$B141,'CDCM Volume Forecasts'!$A$27:$AG$123,F$137,FALSE)</f>
        <v>0</v>
      </c>
      <c r="G176" s="8">
        <f>VLOOKUP(Vlookup!$B141,'CDCM Volume Forecasts'!$A$27:$AG$123,G$137,FALSE)</f>
        <v>0</v>
      </c>
      <c r="H176" s="10"/>
      <c r="I176"/>
      <c r="J176"/>
      <c r="K176"/>
    </row>
    <row r="177" spans="1:11" ht="15">
      <c r="A177" s="11" t="s">
        <v>1641</v>
      </c>
      <c r="B177" s="4">
        <f>VLOOKUP(Vlookup!$B142,'CDCM Volume Forecasts'!$A$27:$AG$123,B$137,FALSE)</f>
        <v>0</v>
      </c>
      <c r="C177" s="4">
        <f>VLOOKUP(Vlookup!$B142,'CDCM Volume Forecasts'!$A$27:$AG$123,C$137,FALSE)</f>
        <v>0</v>
      </c>
      <c r="D177" s="4">
        <f>VLOOKUP(Vlookup!$B142,'CDCM Volume Forecasts'!$A$27:$AG$123,D$137,FALSE)</f>
        <v>0</v>
      </c>
      <c r="E177" s="14">
        <f>VLOOKUP(Vlookup!$B142,'CDCM Volume Forecasts'!$A$27:$AG$123,E$137,FALSE)</f>
        <v>0</v>
      </c>
      <c r="F177" s="8">
        <f>VLOOKUP(Vlookup!$B142,'CDCM Volume Forecasts'!$A$27:$AG$123,F$137,FALSE)</f>
        <v>0</v>
      </c>
      <c r="G177" s="8">
        <f>VLOOKUP(Vlookup!$B142,'CDCM Volume Forecasts'!$A$27:$AG$123,G$137,FALSE)</f>
        <v>0</v>
      </c>
      <c r="H177" s="10"/>
      <c r="I177"/>
      <c r="J177"/>
      <c r="K177"/>
    </row>
    <row r="178" spans="1:11" ht="15">
      <c r="A178" s="17" t="s">
        <v>1649</v>
      </c>
      <c r="B178" s="18">
        <f>VLOOKUP(Vlookup!$B143,'CDCM Volume Forecasts'!$A$27:$AG$123,B$137,FALSE)</f>
        <v>0</v>
      </c>
      <c r="C178" s="18">
        <f>VLOOKUP(Vlookup!$B143,'CDCM Volume Forecasts'!$A$27:$AG$123,C$137,FALSE)</f>
        <v>0</v>
      </c>
      <c r="D178" s="18">
        <f>VLOOKUP(Vlookup!$B143,'CDCM Volume Forecasts'!$A$27:$AG$123,D$137,FALSE)</f>
        <v>0</v>
      </c>
      <c r="E178" s="18">
        <f>VLOOKUP(Vlookup!$B143,'CDCM Volume Forecasts'!$A$27:$AG$123,E$137,FALSE)</f>
        <v>0</v>
      </c>
      <c r="F178" s="18">
        <f>VLOOKUP(Vlookup!$B143,'CDCM Volume Forecasts'!$A$27:$AG$123,F$137,FALSE)</f>
        <v>0</v>
      </c>
      <c r="G178" s="18">
        <f>VLOOKUP(Vlookup!$B143,'CDCM Volume Forecasts'!$A$27:$AG$123,G$137,FALSE)</f>
        <v>0</v>
      </c>
      <c r="H178" s="10"/>
      <c r="I178"/>
      <c r="J178"/>
      <c r="K178"/>
    </row>
    <row r="179" spans="1:11" ht="15">
      <c r="A179" s="11" t="s">
        <v>1646</v>
      </c>
      <c r="B179" s="4">
        <f>VLOOKUP(Vlookup!$B144,'CDCM Volume Forecasts'!$A$27:$AG$123,B$137,FALSE)</f>
        <v>0</v>
      </c>
      <c r="C179" s="4">
        <f>VLOOKUP(Vlookup!$B144,'CDCM Volume Forecasts'!$A$27:$AG$123,C$137,FALSE)</f>
        <v>0</v>
      </c>
      <c r="D179" s="4">
        <f>VLOOKUP(Vlookup!$B144,'CDCM Volume Forecasts'!$A$27:$AG$123,D$137,FALSE)</f>
        <v>0</v>
      </c>
      <c r="E179" s="14">
        <f>VLOOKUP(Vlookup!$B144,'CDCM Volume Forecasts'!$A$27:$AG$123,E$137,FALSE)</f>
        <v>0</v>
      </c>
      <c r="F179" s="8">
        <f>VLOOKUP(Vlookup!$B144,'CDCM Volume Forecasts'!$A$27:$AG$123,F$137,FALSE)</f>
        <v>0</v>
      </c>
      <c r="G179" s="8">
        <f>VLOOKUP(Vlookup!$B144,'CDCM Volume Forecasts'!$A$27:$AG$123,G$137,FALSE)</f>
        <v>0</v>
      </c>
      <c r="H179" s="10"/>
      <c r="I179"/>
      <c r="J179"/>
      <c r="K179"/>
    </row>
    <row r="180" spans="1:11" ht="15">
      <c r="A180" s="11" t="s">
        <v>1643</v>
      </c>
      <c r="B180" s="4">
        <f>VLOOKUP(Vlookup!$B145,'CDCM Volume Forecasts'!$A$27:$AG$123,B$137,FALSE)</f>
        <v>0</v>
      </c>
      <c r="C180" s="4">
        <f>VLOOKUP(Vlookup!$B145,'CDCM Volume Forecasts'!$A$27:$AG$123,C$137,FALSE)</f>
        <v>0</v>
      </c>
      <c r="D180" s="4">
        <f>VLOOKUP(Vlookup!$B145,'CDCM Volume Forecasts'!$A$27:$AG$123,D$137,FALSE)</f>
        <v>0</v>
      </c>
      <c r="E180" s="14">
        <f>VLOOKUP(Vlookup!$B145,'CDCM Volume Forecasts'!$A$27:$AG$123,E$137,FALSE)</f>
        <v>0</v>
      </c>
      <c r="F180" s="8">
        <f>VLOOKUP(Vlookup!$B145,'CDCM Volume Forecasts'!$A$27:$AG$123,F$137,FALSE)</f>
        <v>0</v>
      </c>
      <c r="G180" s="8">
        <f>VLOOKUP(Vlookup!$B145,'CDCM Volume Forecasts'!$A$27:$AG$123,G$137,FALSE)</f>
        <v>0</v>
      </c>
      <c r="H180" s="10"/>
      <c r="I180"/>
      <c r="J180"/>
      <c r="K180"/>
    </row>
    <row r="181" spans="1:11" ht="15">
      <c r="A181" s="11" t="s">
        <v>1640</v>
      </c>
      <c r="B181" s="4">
        <f>VLOOKUP(Vlookup!$B146,'CDCM Volume Forecasts'!$A$27:$AG$123,B$137,FALSE)</f>
        <v>0</v>
      </c>
      <c r="C181" s="4">
        <f>VLOOKUP(Vlookup!$B146,'CDCM Volume Forecasts'!$A$27:$AG$123,C$137,FALSE)</f>
        <v>0</v>
      </c>
      <c r="D181" s="4">
        <f>VLOOKUP(Vlookup!$B146,'CDCM Volume Forecasts'!$A$27:$AG$123,D$137,FALSE)</f>
        <v>0</v>
      </c>
      <c r="E181" s="14">
        <f>VLOOKUP(Vlookup!$B146,'CDCM Volume Forecasts'!$A$27:$AG$123,E$137,FALSE)</f>
        <v>0</v>
      </c>
      <c r="F181" s="8">
        <f>VLOOKUP(Vlookup!$B146,'CDCM Volume Forecasts'!$A$27:$AG$123,F$137,FALSE)</f>
        <v>0</v>
      </c>
      <c r="G181" s="8">
        <f>VLOOKUP(Vlookup!$B146,'CDCM Volume Forecasts'!$A$27:$AG$123,G$137,FALSE)</f>
        <v>0</v>
      </c>
      <c r="H181" s="10"/>
      <c r="I181"/>
      <c r="J181"/>
      <c r="K181"/>
    </row>
    <row r="182" spans="1:11" ht="15">
      <c r="A182" s="17" t="s">
        <v>169</v>
      </c>
      <c r="B182" s="18">
        <f>VLOOKUP(Vlookup!$B147,'CDCM Volume Forecasts'!$A$27:$AG$123,B$137,FALSE)</f>
        <v>0</v>
      </c>
      <c r="C182" s="18">
        <f>VLOOKUP(Vlookup!$B147,'CDCM Volume Forecasts'!$A$27:$AG$123,C$137,FALSE)</f>
        <v>0</v>
      </c>
      <c r="D182" s="18">
        <f>VLOOKUP(Vlookup!$B147,'CDCM Volume Forecasts'!$A$27:$AG$123,D$137,FALSE)</f>
        <v>0</v>
      </c>
      <c r="E182" s="18">
        <f>VLOOKUP(Vlookup!$B147,'CDCM Volume Forecasts'!$A$27:$AG$123,E$137,FALSE)</f>
        <v>0</v>
      </c>
      <c r="F182" s="18">
        <f>VLOOKUP(Vlookup!$B147,'CDCM Volume Forecasts'!$A$27:$AG$123,F$137,FALSE)</f>
        <v>0</v>
      </c>
      <c r="G182" s="18">
        <f>VLOOKUP(Vlookup!$B147,'CDCM Volume Forecasts'!$A$27:$AG$123,G$137,FALSE)</f>
        <v>0</v>
      </c>
      <c r="H182" s="10"/>
      <c r="I182"/>
      <c r="J182"/>
      <c r="K182"/>
    </row>
    <row r="183" spans="1:11" ht="15">
      <c r="A183" s="11" t="s">
        <v>98</v>
      </c>
      <c r="B183" s="4">
        <f>VLOOKUP(Vlookup!$B148,'CDCM Volume Forecasts'!$A$27:$AG$123,B$137,FALSE)</f>
        <v>105280.60773635872</v>
      </c>
      <c r="C183" s="4">
        <f>VLOOKUP(Vlookup!$B148,'CDCM Volume Forecasts'!$A$27:$AG$123,C$137,FALSE)</f>
        <v>666906.91242974426</v>
      </c>
      <c r="D183" s="4">
        <f>VLOOKUP(Vlookup!$B148,'CDCM Volume Forecasts'!$A$27:$AG$123,D$137,FALSE)</f>
        <v>493272.90471028525</v>
      </c>
      <c r="E183" s="14">
        <f>VLOOKUP(Vlookup!$B148,'CDCM Volume Forecasts'!$A$27:$AG$123,E$137,FALSE)</f>
        <v>3111</v>
      </c>
      <c r="F183" s="14">
        <f>VLOOKUP(Vlookup!$B148,'CDCM Volume Forecasts'!$A$27:$AG$123,F$137,FALSE)</f>
        <v>578357</v>
      </c>
      <c r="G183" s="4">
        <f>VLOOKUP(Vlookup!$B148,'CDCM Volume Forecasts'!$A$27:$AG$123,G$137,FALSE)</f>
        <v>121162</v>
      </c>
      <c r="H183" s="10"/>
      <c r="I183"/>
      <c r="J183"/>
      <c r="K183"/>
    </row>
    <row r="184" spans="1:11" ht="15">
      <c r="A184" s="11" t="s">
        <v>170</v>
      </c>
      <c r="B184" s="4">
        <f>VLOOKUP(Vlookup!$B149,'CDCM Volume Forecasts'!$A$27:$AG$123,B$137,FALSE)</f>
        <v>0</v>
      </c>
      <c r="C184" s="4">
        <f>VLOOKUP(Vlookup!$B149,'CDCM Volume Forecasts'!$A$27:$AG$123,C$137,FALSE)</f>
        <v>0</v>
      </c>
      <c r="D184" s="4">
        <f>VLOOKUP(Vlookup!$B149,'CDCM Volume Forecasts'!$A$27:$AG$123,D$137,FALSE)</f>
        <v>0</v>
      </c>
      <c r="E184" s="14">
        <f>VLOOKUP(Vlookup!$B149,'CDCM Volume Forecasts'!$A$27:$AG$123,E$137,FALSE)</f>
        <v>0</v>
      </c>
      <c r="F184" s="14">
        <f>VLOOKUP(Vlookup!$B149,'CDCM Volume Forecasts'!$A$27:$AG$123,F$137,FALSE)</f>
        <v>0</v>
      </c>
      <c r="G184" s="4">
        <f>VLOOKUP(Vlookup!$B149,'CDCM Volume Forecasts'!$A$27:$AG$123,G$137,FALSE)</f>
        <v>0</v>
      </c>
      <c r="H184" s="10"/>
      <c r="I184"/>
      <c r="J184"/>
      <c r="K184"/>
    </row>
    <row r="185" spans="1:11" ht="15">
      <c r="A185" s="11" t="s">
        <v>171</v>
      </c>
      <c r="B185" s="4">
        <f>VLOOKUP(Vlookup!$B150,'CDCM Volume Forecasts'!$A$27:$AG$123,B$137,FALSE)</f>
        <v>1624.4972466770896</v>
      </c>
      <c r="C185" s="4">
        <f>VLOOKUP(Vlookup!$B150,'CDCM Volume Forecasts'!$A$27:$AG$123,C$137,FALSE)</f>
        <v>8871.8152011074108</v>
      </c>
      <c r="D185" s="4">
        <f>VLOOKUP(Vlookup!$B150,'CDCM Volume Forecasts'!$A$27:$AG$123,D$137,FALSE)</f>
        <v>6399.4295359516582</v>
      </c>
      <c r="E185" s="14">
        <f>VLOOKUP(Vlookup!$B150,'CDCM Volume Forecasts'!$A$27:$AG$123,E$137,FALSE)</f>
        <v>20</v>
      </c>
      <c r="F185" s="14">
        <f>VLOOKUP(Vlookup!$B150,'CDCM Volume Forecasts'!$A$27:$AG$123,F$137,FALSE)</f>
        <v>6985</v>
      </c>
      <c r="G185" s="4">
        <f>VLOOKUP(Vlookup!$B150,'CDCM Volume Forecasts'!$A$27:$AG$123,G$137,FALSE)</f>
        <v>558</v>
      </c>
      <c r="H185" s="10"/>
      <c r="I185"/>
      <c r="J185"/>
      <c r="K185"/>
    </row>
    <row r="186" spans="1:11" ht="15">
      <c r="A186" s="17" t="s">
        <v>172</v>
      </c>
      <c r="B186" s="18">
        <f>VLOOKUP(Vlookup!$B151,'CDCM Volume Forecasts'!$A$27:$AG$123,B$137,FALSE)</f>
        <v>0</v>
      </c>
      <c r="C186" s="18">
        <f>VLOOKUP(Vlookup!$B151,'CDCM Volume Forecasts'!$A$27:$AG$123,C$137,FALSE)</f>
        <v>0</v>
      </c>
      <c r="D186" s="18">
        <f>VLOOKUP(Vlookup!$B151,'CDCM Volume Forecasts'!$A$27:$AG$123,D$137,FALSE)</f>
        <v>0</v>
      </c>
      <c r="E186" s="18">
        <f>VLOOKUP(Vlookup!$B151,'CDCM Volume Forecasts'!$A$27:$AG$123,E$137,FALSE)</f>
        <v>0</v>
      </c>
      <c r="F186" s="18">
        <f>VLOOKUP(Vlookup!$B151,'CDCM Volume Forecasts'!$A$27:$AG$123,F$137,FALSE)</f>
        <v>0</v>
      </c>
      <c r="G186" s="18">
        <f>VLOOKUP(Vlookup!$B151,'CDCM Volume Forecasts'!$A$27:$AG$123,G$137,FALSE)</f>
        <v>0</v>
      </c>
      <c r="H186" s="10"/>
      <c r="I186"/>
      <c r="J186"/>
      <c r="K186"/>
    </row>
    <row r="187" spans="1:11" ht="15">
      <c r="A187" s="11" t="s">
        <v>99</v>
      </c>
      <c r="B187" s="4">
        <f>VLOOKUP(Vlookup!$B152,'CDCM Volume Forecasts'!$A$27:$AG$123,B$137,FALSE)</f>
        <v>1334.7866543787895</v>
      </c>
      <c r="C187" s="4">
        <f>VLOOKUP(Vlookup!$B152,'CDCM Volume Forecasts'!$A$27:$AG$123,C$137,FALSE)</f>
        <v>7582.7475303968895</v>
      </c>
      <c r="D187" s="4">
        <f>VLOOKUP(Vlookup!$B152,'CDCM Volume Forecasts'!$A$27:$AG$123,D$137,FALSE)</f>
        <v>5677.7124349562873</v>
      </c>
      <c r="E187" s="14">
        <f>VLOOKUP(Vlookup!$B152,'CDCM Volume Forecasts'!$A$27:$AG$123,E$137,FALSE)</f>
        <v>18</v>
      </c>
      <c r="F187" s="14">
        <f>VLOOKUP(Vlookup!$B152,'CDCM Volume Forecasts'!$A$27:$AG$123,F$137,FALSE)</f>
        <v>6238</v>
      </c>
      <c r="G187" s="4">
        <f>VLOOKUP(Vlookup!$B152,'CDCM Volume Forecasts'!$A$27:$AG$123,G$137,FALSE)</f>
        <v>1758</v>
      </c>
      <c r="H187" s="10"/>
      <c r="I187"/>
      <c r="J187"/>
      <c r="K187"/>
    </row>
    <row r="188" spans="1:11" ht="15">
      <c r="A188" s="11" t="s">
        <v>173</v>
      </c>
      <c r="B188" s="4">
        <f>VLOOKUP(Vlookup!$B153,'CDCM Volume Forecasts'!$A$27:$AG$123,B$137,FALSE)</f>
        <v>439.053309912727</v>
      </c>
      <c r="C188" s="4">
        <f>VLOOKUP(Vlookup!$B153,'CDCM Volume Forecasts'!$A$27:$AG$123,C$137,FALSE)</f>
        <v>2397.787892191192</v>
      </c>
      <c r="D188" s="4">
        <f>VLOOKUP(Vlookup!$B153,'CDCM Volume Forecasts'!$A$27:$AG$123,D$137,FALSE)</f>
        <v>1729.5755502572049</v>
      </c>
      <c r="E188" s="14">
        <f>VLOOKUP(Vlookup!$B153,'CDCM Volume Forecasts'!$A$27:$AG$123,E$137,FALSE)</f>
        <v>5</v>
      </c>
      <c r="F188" s="14">
        <f>VLOOKUP(Vlookup!$B153,'CDCM Volume Forecasts'!$A$27:$AG$123,F$137,FALSE)</f>
        <v>1067</v>
      </c>
      <c r="G188" s="4">
        <f>VLOOKUP(Vlookup!$B153,'CDCM Volume Forecasts'!$A$27:$AG$123,G$137,FALSE)</f>
        <v>113</v>
      </c>
      <c r="H188" s="10"/>
      <c r="I188"/>
      <c r="J188"/>
      <c r="K188"/>
    </row>
    <row r="189" spans="1:11" ht="15">
      <c r="A189" s="17" t="s">
        <v>174</v>
      </c>
      <c r="B189" s="18">
        <f>VLOOKUP(Vlookup!$B154,'CDCM Volume Forecasts'!$A$27:$AG$123,B$137,FALSE)</f>
        <v>0</v>
      </c>
      <c r="C189" s="18">
        <f>VLOOKUP(Vlookup!$B154,'CDCM Volume Forecasts'!$A$27:$AG$123,C$137,FALSE)</f>
        <v>0</v>
      </c>
      <c r="D189" s="18">
        <f>VLOOKUP(Vlookup!$B154,'CDCM Volume Forecasts'!$A$27:$AG$123,D$137,FALSE)</f>
        <v>0</v>
      </c>
      <c r="E189" s="18">
        <f>VLOOKUP(Vlookup!$B154,'CDCM Volume Forecasts'!$A$27:$AG$123,E$137,FALSE)</f>
        <v>0</v>
      </c>
      <c r="F189" s="18">
        <f>VLOOKUP(Vlookup!$B154,'CDCM Volume Forecasts'!$A$27:$AG$123,F$137,FALSE)</f>
        <v>0</v>
      </c>
      <c r="G189" s="18">
        <f>VLOOKUP(Vlookup!$B154,'CDCM Volume Forecasts'!$A$27:$AG$123,G$137,FALSE)</f>
        <v>0</v>
      </c>
      <c r="H189" s="10"/>
      <c r="I189"/>
      <c r="J189"/>
      <c r="K189"/>
    </row>
    <row r="190" spans="1:11" ht="15">
      <c r="A190" s="11" t="s">
        <v>111</v>
      </c>
      <c r="B190" s="4">
        <f>VLOOKUP(Vlookup!$B155,'CDCM Volume Forecasts'!$A$27:$AG$123,B$137,FALSE)</f>
        <v>168212.60808699948</v>
      </c>
      <c r="C190" s="4">
        <f>VLOOKUP(Vlookup!$B155,'CDCM Volume Forecasts'!$A$27:$AG$123,C$137,FALSE)</f>
        <v>1015521.4628002136</v>
      </c>
      <c r="D190" s="4">
        <f>VLOOKUP(Vlookup!$B155,'CDCM Volume Forecasts'!$A$27:$AG$123,D$137,FALSE)</f>
        <v>952719.56575802783</v>
      </c>
      <c r="E190" s="14">
        <f>VLOOKUP(Vlookup!$B155,'CDCM Volume Forecasts'!$A$27:$AG$123,E$137,FALSE)</f>
        <v>595</v>
      </c>
      <c r="F190" s="14">
        <f>VLOOKUP(Vlookup!$B155,'CDCM Volume Forecasts'!$A$27:$AG$123,F$137,FALSE)</f>
        <v>696791</v>
      </c>
      <c r="G190" s="4">
        <f>VLOOKUP(Vlookup!$B155,'CDCM Volume Forecasts'!$A$27:$AG$123,G$137,FALSE)</f>
        <v>160841</v>
      </c>
      <c r="H190" s="10"/>
      <c r="I190"/>
      <c r="J190"/>
      <c r="K190"/>
    </row>
    <row r="191" spans="1:11" ht="15">
      <c r="A191" s="11" t="s">
        <v>175</v>
      </c>
      <c r="B191" s="4">
        <f>VLOOKUP(Vlookup!$B156,'CDCM Volume Forecasts'!$A$27:$AG$123,B$137,FALSE)</f>
        <v>687.38919403029763</v>
      </c>
      <c r="C191" s="4">
        <f>VLOOKUP(Vlookup!$B156,'CDCM Volume Forecasts'!$A$27:$AG$123,C$137,FALSE)</f>
        <v>3897.128225748751</v>
      </c>
      <c r="D191" s="4">
        <f>VLOOKUP(Vlookup!$B156,'CDCM Volume Forecasts'!$A$27:$AG$123,D$137,FALSE)</f>
        <v>3071.0997928152483</v>
      </c>
      <c r="E191" s="14">
        <f>VLOOKUP(Vlookup!$B156,'CDCM Volume Forecasts'!$A$27:$AG$123,E$137,FALSE)</f>
        <v>5</v>
      </c>
      <c r="F191" s="14">
        <f>VLOOKUP(Vlookup!$B156,'CDCM Volume Forecasts'!$A$27:$AG$123,F$137,FALSE)</f>
        <v>4903</v>
      </c>
      <c r="G191" s="4">
        <f>VLOOKUP(Vlookup!$B156,'CDCM Volume Forecasts'!$A$27:$AG$123,G$137,FALSE)</f>
        <v>358</v>
      </c>
      <c r="H191" s="10"/>
      <c r="I191"/>
      <c r="J191"/>
      <c r="K191"/>
    </row>
    <row r="192" spans="1:11" ht="15">
      <c r="A192" s="17" t="s">
        <v>176</v>
      </c>
      <c r="B192" s="18">
        <f>VLOOKUP(Vlookup!$B157,'CDCM Volume Forecasts'!$A$27:$AG$123,B$137,FALSE)</f>
        <v>0</v>
      </c>
      <c r="C192" s="18">
        <f>VLOOKUP(Vlookup!$B157,'CDCM Volume Forecasts'!$A$27:$AG$123,C$137,FALSE)</f>
        <v>0</v>
      </c>
      <c r="D192" s="18">
        <f>VLOOKUP(Vlookup!$B157,'CDCM Volume Forecasts'!$A$27:$AG$123,D$137,FALSE)</f>
        <v>0</v>
      </c>
      <c r="E192" s="18">
        <f>VLOOKUP(Vlookup!$B157,'CDCM Volume Forecasts'!$A$27:$AG$123,E$137,FALSE)</f>
        <v>0</v>
      </c>
      <c r="F192" s="18">
        <f>VLOOKUP(Vlookup!$B157,'CDCM Volume Forecasts'!$A$27:$AG$123,F$137,FALSE)</f>
        <v>0</v>
      </c>
      <c r="G192" s="18">
        <f>VLOOKUP(Vlookup!$B157,'CDCM Volume Forecasts'!$A$27:$AG$123,G$137,FALSE)</f>
        <v>0</v>
      </c>
      <c r="H192" s="10"/>
      <c r="I192"/>
      <c r="J192"/>
      <c r="K192"/>
    </row>
    <row r="193" spans="1:11" ht="15">
      <c r="A193" s="11" t="s">
        <v>131</v>
      </c>
      <c r="B193" s="4">
        <f>VLOOKUP(Vlookup!$B158,'CDCM Volume Forecasts'!$A$27:$AG$123,B$137,FALSE)</f>
        <v>7597.2957335261272</v>
      </c>
      <c r="C193" s="8">
        <f>VLOOKUP(Vlookup!$B158,'CDCM Volume Forecasts'!$A$27:$AG$123,C$137,FALSE)</f>
        <v>0</v>
      </c>
      <c r="D193" s="8">
        <f>VLOOKUP(Vlookup!$B158,'CDCM Volume Forecasts'!$A$27:$AG$123,D$137,FALSE)</f>
        <v>0</v>
      </c>
      <c r="E193" s="14">
        <f>VLOOKUP(Vlookup!$B158,'CDCM Volume Forecasts'!$A$27:$AG$123,E$137,FALSE)</f>
        <v>514</v>
      </c>
      <c r="F193" s="8">
        <f>VLOOKUP(Vlookup!$B158,'CDCM Volume Forecasts'!$A$27:$AG$123,F$137,FALSE)</f>
        <v>0</v>
      </c>
      <c r="G193" s="8">
        <f>VLOOKUP(Vlookup!$B158,'CDCM Volume Forecasts'!$A$27:$AG$123,G$137,FALSE)</f>
        <v>0</v>
      </c>
      <c r="H193" s="10"/>
      <c r="I193"/>
      <c r="J193"/>
      <c r="K193"/>
    </row>
    <row r="194" spans="1:11" ht="15">
      <c r="A194" s="11" t="s">
        <v>177</v>
      </c>
      <c r="B194" s="4">
        <f>VLOOKUP(Vlookup!$B159,'CDCM Volume Forecasts'!$A$27:$AG$123,B$137,FALSE)</f>
        <v>38.57379559770618</v>
      </c>
      <c r="C194" s="8">
        <f>VLOOKUP(Vlookup!$B159,'CDCM Volume Forecasts'!$A$27:$AG$123,C$137,FALSE)</f>
        <v>0</v>
      </c>
      <c r="D194" s="8">
        <f>VLOOKUP(Vlookup!$B159,'CDCM Volume Forecasts'!$A$27:$AG$123,D$137,FALSE)</f>
        <v>0</v>
      </c>
      <c r="E194" s="14">
        <f>VLOOKUP(Vlookup!$B159,'CDCM Volume Forecasts'!$A$27:$AG$123,E$137,FALSE)</f>
        <v>0</v>
      </c>
      <c r="F194" s="8">
        <f>VLOOKUP(Vlookup!$B159,'CDCM Volume Forecasts'!$A$27:$AG$123,F$137,FALSE)</f>
        <v>0</v>
      </c>
      <c r="G194" s="8">
        <f>VLOOKUP(Vlookup!$B159,'CDCM Volume Forecasts'!$A$27:$AG$123,G$137,FALSE)</f>
        <v>0</v>
      </c>
      <c r="H194" s="10"/>
      <c r="I194"/>
      <c r="J194"/>
      <c r="K194"/>
    </row>
    <row r="195" spans="1:11" ht="15">
      <c r="A195" s="11" t="s">
        <v>178</v>
      </c>
      <c r="B195" s="4">
        <f>VLOOKUP(Vlookup!$B160,'CDCM Volume Forecasts'!$A$27:$AG$123,B$137,FALSE)</f>
        <v>180.42533538088671</v>
      </c>
      <c r="C195" s="8">
        <f>VLOOKUP(Vlookup!$B160,'CDCM Volume Forecasts'!$A$27:$AG$123,C$137,FALSE)</f>
        <v>0</v>
      </c>
      <c r="D195" s="8">
        <f>VLOOKUP(Vlookup!$B160,'CDCM Volume Forecasts'!$A$27:$AG$123,D$137,FALSE)</f>
        <v>0</v>
      </c>
      <c r="E195" s="14">
        <f>VLOOKUP(Vlookup!$B160,'CDCM Volume Forecasts'!$A$27:$AG$123,E$137,FALSE)</f>
        <v>0</v>
      </c>
      <c r="F195" s="8">
        <f>VLOOKUP(Vlookup!$B160,'CDCM Volume Forecasts'!$A$27:$AG$123,F$137,FALSE)</f>
        <v>0</v>
      </c>
      <c r="G195" s="8">
        <f>VLOOKUP(Vlookup!$B160,'CDCM Volume Forecasts'!$A$27:$AG$123,G$137,FALSE)</f>
        <v>0</v>
      </c>
      <c r="H195" s="10"/>
      <c r="I195"/>
      <c r="J195"/>
      <c r="K195"/>
    </row>
    <row r="196" spans="1:11" ht="15">
      <c r="A196" s="17" t="s">
        <v>179</v>
      </c>
      <c r="B196" s="18">
        <f>VLOOKUP(Vlookup!$B161,'CDCM Volume Forecasts'!$A$27:$AG$123,B$137,FALSE)</f>
        <v>0</v>
      </c>
      <c r="C196" s="18">
        <f>VLOOKUP(Vlookup!$B161,'CDCM Volume Forecasts'!$A$27:$AG$123,C$137,FALSE)</f>
        <v>0</v>
      </c>
      <c r="D196" s="18">
        <f>VLOOKUP(Vlookup!$B161,'CDCM Volume Forecasts'!$A$27:$AG$123,D$137,FALSE)</f>
        <v>0</v>
      </c>
      <c r="E196" s="18">
        <f>VLOOKUP(Vlookup!$B161,'CDCM Volume Forecasts'!$A$27:$AG$123,E$137,FALSE)</f>
        <v>0</v>
      </c>
      <c r="F196" s="18">
        <f>VLOOKUP(Vlookup!$B161,'CDCM Volume Forecasts'!$A$27:$AG$123,F$137,FALSE)</f>
        <v>0</v>
      </c>
      <c r="G196" s="18">
        <f>VLOOKUP(Vlookup!$B161,'CDCM Volume Forecasts'!$A$27:$AG$123,G$137,FALSE)</f>
        <v>0</v>
      </c>
      <c r="H196" s="10"/>
      <c r="I196"/>
      <c r="J196"/>
      <c r="K196"/>
    </row>
    <row r="197" spans="1:11" ht="15">
      <c r="A197" s="11" t="s">
        <v>132</v>
      </c>
      <c r="B197" s="4">
        <f>VLOOKUP(Vlookup!$B162,'CDCM Volume Forecasts'!$A$27:$AG$123,B$137,FALSE)</f>
        <v>5952.5744876907111</v>
      </c>
      <c r="C197" s="8">
        <f>VLOOKUP(Vlookup!$B162,'CDCM Volume Forecasts'!$A$27:$AG$123,C$137,FALSE)</f>
        <v>0</v>
      </c>
      <c r="D197" s="8">
        <f>VLOOKUP(Vlookup!$B162,'CDCM Volume Forecasts'!$A$27:$AG$123,D$137,FALSE)</f>
        <v>0</v>
      </c>
      <c r="E197" s="14">
        <f>VLOOKUP(Vlookup!$B162,'CDCM Volume Forecasts'!$A$27:$AG$123,E$137,FALSE)</f>
        <v>749</v>
      </c>
      <c r="F197" s="8">
        <f>VLOOKUP(Vlookup!$B162,'CDCM Volume Forecasts'!$A$27:$AG$123,F$137,FALSE)</f>
        <v>0</v>
      </c>
      <c r="G197" s="8">
        <f>VLOOKUP(Vlookup!$B162,'CDCM Volume Forecasts'!$A$27:$AG$123,G$137,FALSE)</f>
        <v>0</v>
      </c>
      <c r="H197" s="10"/>
      <c r="I197"/>
      <c r="J197"/>
      <c r="K197"/>
    </row>
    <row r="198" spans="1:11" ht="15">
      <c r="A198" s="11" t="s">
        <v>180</v>
      </c>
      <c r="B198" s="4">
        <f>VLOOKUP(Vlookup!$B163,'CDCM Volume Forecasts'!$A$27:$AG$123,B$137,FALSE)</f>
        <v>5.4179338644077735</v>
      </c>
      <c r="C198" s="8">
        <f>VLOOKUP(Vlookup!$B163,'CDCM Volume Forecasts'!$A$27:$AG$123,C$137,FALSE)</f>
        <v>0</v>
      </c>
      <c r="D198" s="8">
        <f>VLOOKUP(Vlookup!$B163,'CDCM Volume Forecasts'!$A$27:$AG$123,D$137,FALSE)</f>
        <v>0</v>
      </c>
      <c r="E198" s="14">
        <f>VLOOKUP(Vlookup!$B163,'CDCM Volume Forecasts'!$A$27:$AG$123,E$137,FALSE)</f>
        <v>0</v>
      </c>
      <c r="F198" s="8">
        <f>VLOOKUP(Vlookup!$B163,'CDCM Volume Forecasts'!$A$27:$AG$123,F$137,FALSE)</f>
        <v>0</v>
      </c>
      <c r="G198" s="8">
        <f>VLOOKUP(Vlookup!$B163,'CDCM Volume Forecasts'!$A$27:$AG$123,G$137,FALSE)</f>
        <v>0</v>
      </c>
      <c r="H198" s="10"/>
      <c r="I198"/>
      <c r="J198"/>
      <c r="K198"/>
    </row>
    <row r="199" spans="1:11" ht="15">
      <c r="A199" s="11" t="s">
        <v>181</v>
      </c>
      <c r="B199" s="4">
        <f>VLOOKUP(Vlookup!$B164,'CDCM Volume Forecasts'!$A$27:$AG$123,B$137,FALSE)</f>
        <v>258.82704553611961</v>
      </c>
      <c r="C199" s="8">
        <f>VLOOKUP(Vlookup!$B164,'CDCM Volume Forecasts'!$A$27:$AG$123,C$137,FALSE)</f>
        <v>0</v>
      </c>
      <c r="D199" s="8">
        <f>VLOOKUP(Vlookup!$B164,'CDCM Volume Forecasts'!$A$27:$AG$123,D$137,FALSE)</f>
        <v>0</v>
      </c>
      <c r="E199" s="14">
        <f>VLOOKUP(Vlookup!$B164,'CDCM Volume Forecasts'!$A$27:$AG$123,E$137,FALSE)</f>
        <v>0</v>
      </c>
      <c r="F199" s="8">
        <f>VLOOKUP(Vlookup!$B164,'CDCM Volume Forecasts'!$A$27:$AG$123,F$137,FALSE)</f>
        <v>0</v>
      </c>
      <c r="G199" s="8">
        <f>VLOOKUP(Vlookup!$B164,'CDCM Volume Forecasts'!$A$27:$AG$123,G$137,FALSE)</f>
        <v>0</v>
      </c>
      <c r="H199" s="10"/>
      <c r="I199"/>
      <c r="J199"/>
      <c r="K199"/>
    </row>
    <row r="200" spans="1:11" ht="15">
      <c r="A200" s="17" t="s">
        <v>182</v>
      </c>
      <c r="B200" s="18">
        <f>VLOOKUP(Vlookup!$B165,'CDCM Volume Forecasts'!$A$27:$AG$123,B$137,FALSE)</f>
        <v>0</v>
      </c>
      <c r="C200" s="18">
        <f>VLOOKUP(Vlookup!$B165,'CDCM Volume Forecasts'!$A$27:$AG$123,C$137,FALSE)</f>
        <v>0</v>
      </c>
      <c r="D200" s="18">
        <f>VLOOKUP(Vlookup!$B165,'CDCM Volume Forecasts'!$A$27:$AG$123,D$137,FALSE)</f>
        <v>0</v>
      </c>
      <c r="E200" s="18">
        <f>VLOOKUP(Vlookup!$B165,'CDCM Volume Forecasts'!$A$27:$AG$123,E$137,FALSE)</f>
        <v>0</v>
      </c>
      <c r="F200" s="18">
        <f>VLOOKUP(Vlookup!$B165,'CDCM Volume Forecasts'!$A$27:$AG$123,F$137,FALSE)</f>
        <v>0</v>
      </c>
      <c r="G200" s="18">
        <f>VLOOKUP(Vlookup!$B165,'CDCM Volume Forecasts'!$A$27:$AG$123,G$137,FALSE)</f>
        <v>0</v>
      </c>
      <c r="H200" s="10"/>
      <c r="I200"/>
      <c r="J200"/>
      <c r="K200"/>
    </row>
    <row r="201" spans="1:11" ht="15">
      <c r="A201" s="11" t="s">
        <v>133</v>
      </c>
      <c r="B201" s="4">
        <f>VLOOKUP(Vlookup!$B166,'CDCM Volume Forecasts'!$A$27:$AG$123,B$137,FALSE)</f>
        <v>378.27038018128798</v>
      </c>
      <c r="C201" s="8">
        <f>VLOOKUP(Vlookup!$B166,'CDCM Volume Forecasts'!$A$27:$AG$123,C$137,FALSE)</f>
        <v>0</v>
      </c>
      <c r="D201" s="8">
        <f>VLOOKUP(Vlookup!$B166,'CDCM Volume Forecasts'!$A$27:$AG$123,D$137,FALSE)</f>
        <v>0</v>
      </c>
      <c r="E201" s="14">
        <f>VLOOKUP(Vlookup!$B166,'CDCM Volume Forecasts'!$A$27:$AG$123,E$137,FALSE)</f>
        <v>84</v>
      </c>
      <c r="F201" s="8">
        <f>VLOOKUP(Vlookup!$B166,'CDCM Volume Forecasts'!$A$27:$AG$123,F$137,FALSE)</f>
        <v>0</v>
      </c>
      <c r="G201" s="8">
        <f>VLOOKUP(Vlookup!$B166,'CDCM Volume Forecasts'!$A$27:$AG$123,G$137,FALSE)</f>
        <v>0</v>
      </c>
      <c r="H201" s="10"/>
      <c r="I201"/>
      <c r="J201"/>
      <c r="K201"/>
    </row>
    <row r="202" spans="1:11" ht="15">
      <c r="A202" s="11" t="s">
        <v>183</v>
      </c>
      <c r="B202" s="4">
        <f>VLOOKUP(Vlookup!$B167,'CDCM Volume Forecasts'!$A$27:$AG$123,B$137,FALSE)</f>
        <v>0</v>
      </c>
      <c r="C202" s="8">
        <f>VLOOKUP(Vlookup!$B167,'CDCM Volume Forecasts'!$A$27:$AG$123,C$137,FALSE)</f>
        <v>0</v>
      </c>
      <c r="D202" s="8">
        <f>VLOOKUP(Vlookup!$B167,'CDCM Volume Forecasts'!$A$27:$AG$123,D$137,FALSE)</f>
        <v>0</v>
      </c>
      <c r="E202" s="14">
        <f>VLOOKUP(Vlookup!$B167,'CDCM Volume Forecasts'!$A$27:$AG$123,E$137,FALSE)</f>
        <v>0</v>
      </c>
      <c r="F202" s="8">
        <f>VLOOKUP(Vlookup!$B167,'CDCM Volume Forecasts'!$A$27:$AG$123,F$137,FALSE)</f>
        <v>0</v>
      </c>
      <c r="G202" s="8">
        <f>VLOOKUP(Vlookup!$B167,'CDCM Volume Forecasts'!$A$27:$AG$123,G$137,FALSE)</f>
        <v>0</v>
      </c>
      <c r="H202" s="10"/>
      <c r="I202"/>
      <c r="J202"/>
      <c r="K202"/>
    </row>
    <row r="203" spans="1:11" ht="15">
      <c r="A203" s="11" t="s">
        <v>184</v>
      </c>
      <c r="B203" s="4">
        <f>VLOOKUP(Vlookup!$B168,'CDCM Volume Forecasts'!$A$27:$AG$123,B$137,FALSE)</f>
        <v>0</v>
      </c>
      <c r="C203" s="8">
        <f>VLOOKUP(Vlookup!$B168,'CDCM Volume Forecasts'!$A$27:$AG$123,C$137,FALSE)</f>
        <v>0</v>
      </c>
      <c r="D203" s="8">
        <f>VLOOKUP(Vlookup!$B168,'CDCM Volume Forecasts'!$A$27:$AG$123,D$137,FALSE)</f>
        <v>0</v>
      </c>
      <c r="E203" s="14">
        <f>VLOOKUP(Vlookup!$B168,'CDCM Volume Forecasts'!$A$27:$AG$123,E$137,FALSE)</f>
        <v>0</v>
      </c>
      <c r="F203" s="8">
        <f>VLOOKUP(Vlookup!$B168,'CDCM Volume Forecasts'!$A$27:$AG$123,F$137,FALSE)</f>
        <v>0</v>
      </c>
      <c r="G203" s="8">
        <f>VLOOKUP(Vlookup!$B168,'CDCM Volume Forecasts'!$A$27:$AG$123,G$137,FALSE)</f>
        <v>0</v>
      </c>
      <c r="H203" s="10"/>
      <c r="I203"/>
      <c r="J203"/>
      <c r="K203"/>
    </row>
    <row r="204" spans="1:11" ht="15">
      <c r="A204" s="17" t="s">
        <v>185</v>
      </c>
      <c r="B204" s="18">
        <f>VLOOKUP(Vlookup!$B169,'CDCM Volume Forecasts'!$A$27:$AG$123,B$137,FALSE)</f>
        <v>0</v>
      </c>
      <c r="C204" s="18">
        <f>VLOOKUP(Vlookup!$B169,'CDCM Volume Forecasts'!$A$27:$AG$123,C$137,FALSE)</f>
        <v>0</v>
      </c>
      <c r="D204" s="18">
        <f>VLOOKUP(Vlookup!$B169,'CDCM Volume Forecasts'!$A$27:$AG$123,D$137,FALSE)</f>
        <v>0</v>
      </c>
      <c r="E204" s="18">
        <f>VLOOKUP(Vlookup!$B169,'CDCM Volume Forecasts'!$A$27:$AG$123,E$137,FALSE)</f>
        <v>0</v>
      </c>
      <c r="F204" s="18">
        <f>VLOOKUP(Vlookup!$B169,'CDCM Volume Forecasts'!$A$27:$AG$123,F$137,FALSE)</f>
        <v>0</v>
      </c>
      <c r="G204" s="18">
        <f>VLOOKUP(Vlookup!$B169,'CDCM Volume Forecasts'!$A$27:$AG$123,G$137,FALSE)</f>
        <v>0</v>
      </c>
      <c r="H204" s="10"/>
      <c r="I204"/>
      <c r="J204"/>
      <c r="K204"/>
    </row>
    <row r="205" spans="1:11" ht="15">
      <c r="A205" s="11" t="s">
        <v>134</v>
      </c>
      <c r="B205" s="4">
        <f>VLOOKUP(Vlookup!$B170,'CDCM Volume Forecasts'!$A$27:$AG$123,B$137,FALSE)</f>
        <v>0</v>
      </c>
      <c r="C205" s="8">
        <f>VLOOKUP(Vlookup!$B170,'CDCM Volume Forecasts'!$A$27:$AG$123,C$137,FALSE)</f>
        <v>0</v>
      </c>
      <c r="D205" s="8">
        <f>VLOOKUP(Vlookup!$B170,'CDCM Volume Forecasts'!$A$27:$AG$123,D$137,FALSE)</f>
        <v>0</v>
      </c>
      <c r="E205" s="14">
        <f>VLOOKUP(Vlookup!$B170,'CDCM Volume Forecasts'!$A$27:$AG$123,E$137,FALSE)</f>
        <v>1</v>
      </c>
      <c r="F205" s="8">
        <f>VLOOKUP(Vlookup!$B170,'CDCM Volume Forecasts'!$A$27:$AG$123,F$137,FALSE)</f>
        <v>0</v>
      </c>
      <c r="G205" s="8">
        <f>VLOOKUP(Vlookup!$B170,'CDCM Volume Forecasts'!$A$27:$AG$123,G$137,FALSE)</f>
        <v>0</v>
      </c>
      <c r="H205" s="10"/>
      <c r="I205"/>
      <c r="J205"/>
      <c r="K205"/>
    </row>
    <row r="206" spans="1:11" ht="15">
      <c r="A206" s="11" t="s">
        <v>186</v>
      </c>
      <c r="B206" s="4">
        <f>VLOOKUP(Vlookup!$B171,'CDCM Volume Forecasts'!$A$27:$AG$123,B$137,FALSE)</f>
        <v>0</v>
      </c>
      <c r="C206" s="8">
        <f>VLOOKUP(Vlookup!$B171,'CDCM Volume Forecasts'!$A$27:$AG$123,C$137,FALSE)</f>
        <v>0</v>
      </c>
      <c r="D206" s="8">
        <f>VLOOKUP(Vlookup!$B171,'CDCM Volume Forecasts'!$A$27:$AG$123,D$137,FALSE)</f>
        <v>0</v>
      </c>
      <c r="E206" s="14">
        <f>VLOOKUP(Vlookup!$B171,'CDCM Volume Forecasts'!$A$27:$AG$123,E$137,FALSE)</f>
        <v>0</v>
      </c>
      <c r="F206" s="8">
        <f>VLOOKUP(Vlookup!$B171,'CDCM Volume Forecasts'!$A$27:$AG$123,F$137,FALSE)</f>
        <v>0</v>
      </c>
      <c r="G206" s="8">
        <f>VLOOKUP(Vlookup!$B171,'CDCM Volume Forecasts'!$A$27:$AG$123,G$137,FALSE)</f>
        <v>0</v>
      </c>
      <c r="H206" s="10"/>
      <c r="I206"/>
      <c r="J206"/>
      <c r="K206"/>
    </row>
    <row r="207" spans="1:11" ht="15">
      <c r="A207" s="11" t="s">
        <v>187</v>
      </c>
      <c r="B207" s="4">
        <f>VLOOKUP(Vlookup!$B172,'CDCM Volume Forecasts'!$A$27:$AG$123,B$137,FALSE)</f>
        <v>0</v>
      </c>
      <c r="C207" s="8">
        <f>VLOOKUP(Vlookup!$B172,'CDCM Volume Forecasts'!$A$27:$AG$123,C$137,FALSE)</f>
        <v>0</v>
      </c>
      <c r="D207" s="8">
        <f>VLOOKUP(Vlookup!$B172,'CDCM Volume Forecasts'!$A$27:$AG$123,D$137,FALSE)</f>
        <v>0</v>
      </c>
      <c r="E207" s="14">
        <f>VLOOKUP(Vlookup!$B172,'CDCM Volume Forecasts'!$A$27:$AG$123,E$137,FALSE)</f>
        <v>0</v>
      </c>
      <c r="F207" s="8">
        <f>VLOOKUP(Vlookup!$B172,'CDCM Volume Forecasts'!$A$27:$AG$123,F$137,FALSE)</f>
        <v>0</v>
      </c>
      <c r="G207" s="8">
        <f>VLOOKUP(Vlookup!$B172,'CDCM Volume Forecasts'!$A$27:$AG$123,G$137,FALSE)</f>
        <v>0</v>
      </c>
      <c r="H207" s="10"/>
      <c r="I207"/>
      <c r="J207"/>
      <c r="K207"/>
    </row>
    <row r="208" spans="1:11" ht="15">
      <c r="A208" s="17" t="s">
        <v>188</v>
      </c>
      <c r="B208" s="18">
        <f>VLOOKUP(Vlookup!$B173,'CDCM Volume Forecasts'!$A$27:$AG$123,B$137,FALSE)</f>
        <v>0</v>
      </c>
      <c r="C208" s="18">
        <f>VLOOKUP(Vlookup!$B173,'CDCM Volume Forecasts'!$A$27:$AG$123,C$137,FALSE)</f>
        <v>0</v>
      </c>
      <c r="D208" s="18">
        <f>VLOOKUP(Vlookup!$B173,'CDCM Volume Forecasts'!$A$27:$AG$123,D$137,FALSE)</f>
        <v>0</v>
      </c>
      <c r="E208" s="18">
        <f>VLOOKUP(Vlookup!$B173,'CDCM Volume Forecasts'!$A$27:$AG$123,E$137,FALSE)</f>
        <v>0</v>
      </c>
      <c r="F208" s="18">
        <f>VLOOKUP(Vlookup!$B173,'CDCM Volume Forecasts'!$A$27:$AG$123,F$137,FALSE)</f>
        <v>0</v>
      </c>
      <c r="G208" s="18">
        <f>VLOOKUP(Vlookup!$B173,'CDCM Volume Forecasts'!$A$27:$AG$123,G$137,FALSE)</f>
        <v>0</v>
      </c>
      <c r="H208" s="10"/>
      <c r="I208"/>
      <c r="J208"/>
      <c r="K208"/>
    </row>
    <row r="209" spans="1:11" ht="15">
      <c r="A209" s="11" t="s">
        <v>135</v>
      </c>
      <c r="B209" s="4">
        <f>VLOOKUP(Vlookup!$B174,'CDCM Volume Forecasts'!$A$27:$AG$123,B$137,FALSE)</f>
        <v>6228.0959976775684</v>
      </c>
      <c r="C209" s="4">
        <f>VLOOKUP(Vlookup!$B174,'CDCM Volume Forecasts'!$A$27:$AG$123,C$137,FALSE)</f>
        <v>35918.74585465651</v>
      </c>
      <c r="D209" s="4">
        <f>VLOOKUP(Vlookup!$B174,'CDCM Volume Forecasts'!$A$27:$AG$123,D$137,FALSE)</f>
        <v>102458.54632787764</v>
      </c>
      <c r="E209" s="14">
        <f>VLOOKUP(Vlookup!$B174,'CDCM Volume Forecasts'!$A$27:$AG$123,E$137,FALSE)</f>
        <v>26</v>
      </c>
      <c r="F209" s="8">
        <f>VLOOKUP(Vlookup!$B174,'CDCM Volume Forecasts'!$A$27:$AG$123,F$137,FALSE)</f>
        <v>0</v>
      </c>
      <c r="G209" s="8">
        <f>VLOOKUP(Vlookup!$B174,'CDCM Volume Forecasts'!$A$27:$AG$123,G$137,FALSE)</f>
        <v>0</v>
      </c>
      <c r="H209" s="10"/>
      <c r="I209"/>
      <c r="J209"/>
      <c r="K209"/>
    </row>
    <row r="210" spans="1:11" ht="15">
      <c r="A210" s="11" t="s">
        <v>189</v>
      </c>
      <c r="B210" s="4">
        <f>VLOOKUP(Vlookup!$B175,'CDCM Volume Forecasts'!$A$27:$AG$123,B$137,FALSE)</f>
        <v>0</v>
      </c>
      <c r="C210" s="4">
        <f>VLOOKUP(Vlookup!$B175,'CDCM Volume Forecasts'!$A$27:$AG$123,C$137,FALSE)</f>
        <v>0</v>
      </c>
      <c r="D210" s="4">
        <f>VLOOKUP(Vlookup!$B175,'CDCM Volume Forecasts'!$A$27:$AG$123,D$137,FALSE)</f>
        <v>0</v>
      </c>
      <c r="E210" s="14">
        <f>VLOOKUP(Vlookup!$B175,'CDCM Volume Forecasts'!$A$27:$AG$123,E$137,FALSE)</f>
        <v>0</v>
      </c>
      <c r="F210" s="8">
        <f>VLOOKUP(Vlookup!$B175,'CDCM Volume Forecasts'!$A$27:$AG$123,F$137,FALSE)</f>
        <v>0</v>
      </c>
      <c r="G210" s="8">
        <f>VLOOKUP(Vlookup!$B175,'CDCM Volume Forecasts'!$A$27:$AG$123,G$137,FALSE)</f>
        <v>0</v>
      </c>
      <c r="H210" s="10"/>
      <c r="I210"/>
      <c r="J210"/>
      <c r="K210"/>
    </row>
    <row r="211" spans="1:11" ht="15">
      <c r="A211" s="11" t="s">
        <v>190</v>
      </c>
      <c r="B211" s="4">
        <f>VLOOKUP(Vlookup!$B176,'CDCM Volume Forecasts'!$A$27:$AG$123,B$137,FALSE)</f>
        <v>0</v>
      </c>
      <c r="C211" s="4">
        <f>VLOOKUP(Vlookup!$B176,'CDCM Volume Forecasts'!$A$27:$AG$123,C$137,FALSE)</f>
        <v>0</v>
      </c>
      <c r="D211" s="4">
        <f>VLOOKUP(Vlookup!$B176,'CDCM Volume Forecasts'!$A$27:$AG$123,D$137,FALSE)</f>
        <v>0</v>
      </c>
      <c r="E211" s="14">
        <f>VLOOKUP(Vlookup!$B176,'CDCM Volume Forecasts'!$A$27:$AG$123,E$137,FALSE)</f>
        <v>0</v>
      </c>
      <c r="F211" s="8">
        <f>VLOOKUP(Vlookup!$B176,'CDCM Volume Forecasts'!$A$27:$AG$123,F$137,FALSE)</f>
        <v>0</v>
      </c>
      <c r="G211" s="8">
        <f>VLOOKUP(Vlookup!$B176,'CDCM Volume Forecasts'!$A$27:$AG$123,G$137,FALSE)</f>
        <v>0</v>
      </c>
      <c r="H211" s="10"/>
      <c r="I211"/>
      <c r="J211"/>
      <c r="K211"/>
    </row>
    <row r="212" spans="1:11" ht="15">
      <c r="A212" s="17" t="s">
        <v>1648</v>
      </c>
      <c r="B212" s="18">
        <f>VLOOKUP(Vlookup!$B177,'CDCM Volume Forecasts'!$A$27:$AG$123,B$137,FALSE)</f>
        <v>0</v>
      </c>
      <c r="C212" s="18">
        <f>VLOOKUP(Vlookup!$B177,'CDCM Volume Forecasts'!$A$27:$AG$123,C$137,FALSE)</f>
        <v>0</v>
      </c>
      <c r="D212" s="18">
        <f>VLOOKUP(Vlookup!$B177,'CDCM Volume Forecasts'!$A$27:$AG$123,D$137,FALSE)</f>
        <v>0</v>
      </c>
      <c r="E212" s="18">
        <f>VLOOKUP(Vlookup!$B177,'CDCM Volume Forecasts'!$A$27:$AG$123,E$137,FALSE)</f>
        <v>0</v>
      </c>
      <c r="F212" s="18">
        <f>VLOOKUP(Vlookup!$B177,'CDCM Volume Forecasts'!$A$27:$AG$123,F$137,FALSE)</f>
        <v>0</v>
      </c>
      <c r="G212" s="18">
        <f>VLOOKUP(Vlookup!$B177,'CDCM Volume Forecasts'!$A$27:$AG$123,G$137,FALSE)</f>
        <v>0</v>
      </c>
      <c r="H212" s="10"/>
      <c r="I212"/>
      <c r="J212"/>
      <c r="K212"/>
    </row>
    <row r="213" spans="1:11" ht="15">
      <c r="A213" s="11" t="s">
        <v>1645</v>
      </c>
      <c r="B213" s="4">
        <f>VLOOKUP(Vlookup!$B178,'CDCM Volume Forecasts'!$A$27:$AG$123,B$137,FALSE)</f>
        <v>602.29748729184382</v>
      </c>
      <c r="C213" s="8">
        <f>VLOOKUP(Vlookup!$B178,'CDCM Volume Forecasts'!$A$27:$AG$123,C$137,FALSE)</f>
        <v>0</v>
      </c>
      <c r="D213" s="8">
        <f>VLOOKUP(Vlookup!$B178,'CDCM Volume Forecasts'!$A$27:$AG$123,D$137,FALSE)</f>
        <v>0</v>
      </c>
      <c r="E213" s="14">
        <f>VLOOKUP(Vlookup!$B178,'CDCM Volume Forecasts'!$A$27:$AG$123,E$137,FALSE)</f>
        <v>130</v>
      </c>
      <c r="F213" s="8">
        <f>VLOOKUP(Vlookup!$B178,'CDCM Volume Forecasts'!$A$27:$AG$123,F$137,FALSE)</f>
        <v>0</v>
      </c>
      <c r="G213" s="8">
        <f>VLOOKUP(Vlookup!$B178,'CDCM Volume Forecasts'!$A$27:$AG$123,G$137,FALSE)</f>
        <v>0</v>
      </c>
      <c r="H213" s="10"/>
      <c r="I213"/>
      <c r="J213"/>
      <c r="K213"/>
    </row>
    <row r="214" spans="1:11" ht="15">
      <c r="A214" s="11" t="s">
        <v>1642</v>
      </c>
      <c r="B214" s="4">
        <f>VLOOKUP(Vlookup!$B179,'CDCM Volume Forecasts'!$A$27:$AG$123,B$137,FALSE)</f>
        <v>0</v>
      </c>
      <c r="C214" s="8">
        <f>VLOOKUP(Vlookup!$B179,'CDCM Volume Forecasts'!$A$27:$AG$123,C$137,FALSE)</f>
        <v>0</v>
      </c>
      <c r="D214" s="8">
        <f>VLOOKUP(Vlookup!$B179,'CDCM Volume Forecasts'!$A$27:$AG$123,D$137,FALSE)</f>
        <v>0</v>
      </c>
      <c r="E214" s="14">
        <f>VLOOKUP(Vlookup!$B179,'CDCM Volume Forecasts'!$A$27:$AG$123,E$137,FALSE)</f>
        <v>0</v>
      </c>
      <c r="F214" s="8">
        <f>VLOOKUP(Vlookup!$B179,'CDCM Volume Forecasts'!$A$27:$AG$123,F$137,FALSE)</f>
        <v>0</v>
      </c>
      <c r="G214" s="8">
        <f>VLOOKUP(Vlookup!$B179,'CDCM Volume Forecasts'!$A$27:$AG$123,G$137,FALSE)</f>
        <v>0</v>
      </c>
      <c r="H214" s="10"/>
      <c r="I214"/>
      <c r="J214"/>
      <c r="K214"/>
    </row>
    <row r="215" spans="1:11" ht="15">
      <c r="A215" s="11" t="s">
        <v>1639</v>
      </c>
      <c r="B215" s="4">
        <f>VLOOKUP(Vlookup!$B180,'CDCM Volume Forecasts'!$A$27:$AG$123,B$137,FALSE)</f>
        <v>0</v>
      </c>
      <c r="C215" s="8">
        <f>VLOOKUP(Vlookup!$B180,'CDCM Volume Forecasts'!$A$27:$AG$123,C$137,FALSE)</f>
        <v>0</v>
      </c>
      <c r="D215" s="8">
        <f>VLOOKUP(Vlookup!$B180,'CDCM Volume Forecasts'!$A$27:$AG$123,D$137,FALSE)</f>
        <v>0</v>
      </c>
      <c r="E215" s="14">
        <f>VLOOKUP(Vlookup!$B180,'CDCM Volume Forecasts'!$A$27:$AG$123,E$137,FALSE)</f>
        <v>0</v>
      </c>
      <c r="F215" s="8">
        <f>VLOOKUP(Vlookup!$B180,'CDCM Volume Forecasts'!$A$27:$AG$123,F$137,FALSE)</f>
        <v>0</v>
      </c>
      <c r="G215" s="8">
        <f>VLOOKUP(Vlookup!$B180,'CDCM Volume Forecasts'!$A$27:$AG$123,G$137,FALSE)</f>
        <v>0</v>
      </c>
      <c r="H215" s="10"/>
      <c r="I215"/>
      <c r="J215"/>
      <c r="K215"/>
    </row>
    <row r="216" spans="1:11" ht="15">
      <c r="A216" s="17" t="s">
        <v>191</v>
      </c>
      <c r="B216" s="18">
        <f>VLOOKUP(Vlookup!$B181,'CDCM Volume Forecasts'!$A$27:$AG$123,B$137,FALSE)</f>
        <v>0</v>
      </c>
      <c r="C216" s="18">
        <f>VLOOKUP(Vlookup!$B181,'CDCM Volume Forecasts'!$A$27:$AG$123,C$137,FALSE)</f>
        <v>0</v>
      </c>
      <c r="D216" s="18">
        <f>VLOOKUP(Vlookup!$B181,'CDCM Volume Forecasts'!$A$27:$AG$123,D$137,FALSE)</f>
        <v>0</v>
      </c>
      <c r="E216" s="18">
        <f>VLOOKUP(Vlookup!$B181,'CDCM Volume Forecasts'!$A$27:$AG$123,E$137,FALSE)</f>
        <v>0</v>
      </c>
      <c r="F216" s="18">
        <f>VLOOKUP(Vlookup!$B181,'CDCM Volume Forecasts'!$A$27:$AG$123,F$137,FALSE)</f>
        <v>0</v>
      </c>
      <c r="G216" s="18">
        <f>VLOOKUP(Vlookup!$B181,'CDCM Volume Forecasts'!$A$27:$AG$123,G$137,FALSE)</f>
        <v>0</v>
      </c>
      <c r="H216" s="10"/>
      <c r="I216"/>
      <c r="J216"/>
      <c r="K216"/>
    </row>
    <row r="217" spans="1:11" ht="15">
      <c r="A217" s="11" t="s">
        <v>100</v>
      </c>
      <c r="B217" s="4">
        <f>VLOOKUP(Vlookup!$B182,'CDCM Volume Forecasts'!$A$27:$AG$123,B$137,FALSE)</f>
        <v>0</v>
      </c>
      <c r="C217" s="8">
        <f>VLOOKUP(Vlookup!$B182,'CDCM Volume Forecasts'!$A$27:$AG$123,C$137,FALSE)</f>
        <v>0</v>
      </c>
      <c r="D217" s="8">
        <f>VLOOKUP(Vlookup!$B182,'CDCM Volume Forecasts'!$A$27:$AG$123,D$137,FALSE)</f>
        <v>0</v>
      </c>
      <c r="E217" s="14">
        <f>VLOOKUP(Vlookup!$B182,'CDCM Volume Forecasts'!$A$27:$AG$123,E$137,FALSE)</f>
        <v>0</v>
      </c>
      <c r="F217" s="8">
        <f>VLOOKUP(Vlookup!$B182,'CDCM Volume Forecasts'!$A$27:$AG$123,F$137,FALSE)</f>
        <v>0</v>
      </c>
      <c r="G217" s="8">
        <f>VLOOKUP(Vlookup!$B182,'CDCM Volume Forecasts'!$A$27:$AG$123,G$137,FALSE)</f>
        <v>0</v>
      </c>
      <c r="H217" s="10"/>
      <c r="I217"/>
      <c r="J217"/>
      <c r="K217"/>
    </row>
    <row r="218" spans="1:11" ht="15">
      <c r="A218" s="11" t="s">
        <v>192</v>
      </c>
      <c r="B218" s="4">
        <f>VLOOKUP(Vlookup!$B183,'CDCM Volume Forecasts'!$A$27:$AG$123,B$137,FALSE)</f>
        <v>0</v>
      </c>
      <c r="C218" s="8">
        <f>VLOOKUP(Vlookup!$B183,'CDCM Volume Forecasts'!$A$27:$AG$123,C$137,FALSE)</f>
        <v>0</v>
      </c>
      <c r="D218" s="8">
        <f>VLOOKUP(Vlookup!$B183,'CDCM Volume Forecasts'!$A$27:$AG$123,D$137,FALSE)</f>
        <v>0</v>
      </c>
      <c r="E218" s="14">
        <f>VLOOKUP(Vlookup!$B183,'CDCM Volume Forecasts'!$A$27:$AG$123,E$137,FALSE)</f>
        <v>0</v>
      </c>
      <c r="F218" s="8">
        <f>VLOOKUP(Vlookup!$B183,'CDCM Volume Forecasts'!$A$27:$AG$123,F$137,FALSE)</f>
        <v>0</v>
      </c>
      <c r="G218" s="8">
        <f>VLOOKUP(Vlookup!$B183,'CDCM Volume Forecasts'!$A$27:$AG$123,G$137,FALSE)</f>
        <v>0</v>
      </c>
      <c r="H218" s="10"/>
      <c r="I218"/>
      <c r="J218"/>
      <c r="K218"/>
    </row>
    <row r="219" spans="1:11" ht="15">
      <c r="A219" s="17" t="s">
        <v>193</v>
      </c>
      <c r="B219" s="18">
        <f>VLOOKUP(Vlookup!$B184,'CDCM Volume Forecasts'!$A$27:$AG$123,B$137,FALSE)</f>
        <v>0</v>
      </c>
      <c r="C219" s="18">
        <f>VLOOKUP(Vlookup!$B184,'CDCM Volume Forecasts'!$A$27:$AG$123,C$137,FALSE)</f>
        <v>0</v>
      </c>
      <c r="D219" s="18">
        <f>VLOOKUP(Vlookup!$B184,'CDCM Volume Forecasts'!$A$27:$AG$123,D$137,FALSE)</f>
        <v>0</v>
      </c>
      <c r="E219" s="18">
        <f>VLOOKUP(Vlookup!$B184,'CDCM Volume Forecasts'!$A$27:$AG$123,E$137,FALSE)</f>
        <v>0</v>
      </c>
      <c r="F219" s="18">
        <f>VLOOKUP(Vlookup!$B184,'CDCM Volume Forecasts'!$A$27:$AG$123,F$137,FALSE)</f>
        <v>0</v>
      </c>
      <c r="G219" s="18">
        <f>VLOOKUP(Vlookup!$B184,'CDCM Volume Forecasts'!$A$27:$AG$123,G$137,FALSE)</f>
        <v>0</v>
      </c>
      <c r="H219" s="10"/>
      <c r="I219"/>
      <c r="J219"/>
      <c r="K219"/>
    </row>
    <row r="220" spans="1:11" ht="15">
      <c r="A220" s="11" t="s">
        <v>101</v>
      </c>
      <c r="B220" s="4">
        <f>VLOOKUP(Vlookup!$B185,'CDCM Volume Forecasts'!$A$27:$AG$123,B$137,FALSE)</f>
        <v>9529.9504738031992</v>
      </c>
      <c r="C220" s="8">
        <f>VLOOKUP(Vlookup!$B185,'CDCM Volume Forecasts'!$A$27:$AG$123,C$137,FALSE)</f>
        <v>0</v>
      </c>
      <c r="D220" s="8">
        <f>VLOOKUP(Vlookup!$B185,'CDCM Volume Forecasts'!$A$27:$AG$123,D$137,FALSE)</f>
        <v>0</v>
      </c>
      <c r="E220" s="14">
        <f>VLOOKUP(Vlookup!$B185,'CDCM Volume Forecasts'!$A$27:$AG$123,E$137,FALSE)</f>
        <v>146</v>
      </c>
      <c r="F220" s="8">
        <f>VLOOKUP(Vlookup!$B185,'CDCM Volume Forecasts'!$A$27:$AG$123,F$137,FALSE)</f>
        <v>0</v>
      </c>
      <c r="G220" s="4">
        <f>VLOOKUP(Vlookup!$B185,'CDCM Volume Forecasts'!$A$27:$AG$123,G$137,FALSE)</f>
        <v>338</v>
      </c>
      <c r="H220" s="10"/>
      <c r="I220"/>
      <c r="J220"/>
      <c r="K220"/>
    </row>
    <row r="221" spans="1:11" ht="15">
      <c r="A221" s="11" t="s">
        <v>194</v>
      </c>
      <c r="B221" s="4">
        <f>VLOOKUP(Vlookup!$B186,'CDCM Volume Forecasts'!$A$27:$AG$123,B$137,FALSE)</f>
        <v>0</v>
      </c>
      <c r="C221" s="8">
        <f>VLOOKUP(Vlookup!$B186,'CDCM Volume Forecasts'!$A$27:$AG$123,C$137,FALSE)</f>
        <v>0</v>
      </c>
      <c r="D221" s="8">
        <f>VLOOKUP(Vlookup!$B186,'CDCM Volume Forecasts'!$A$27:$AG$123,D$137,FALSE)</f>
        <v>0</v>
      </c>
      <c r="E221" s="14">
        <f>VLOOKUP(Vlookup!$B186,'CDCM Volume Forecasts'!$A$27:$AG$123,E$137,FALSE)</f>
        <v>0</v>
      </c>
      <c r="F221" s="8">
        <f>VLOOKUP(Vlookup!$B186,'CDCM Volume Forecasts'!$A$27:$AG$123,F$137,FALSE)</f>
        <v>0</v>
      </c>
      <c r="G221" s="4">
        <f>VLOOKUP(Vlookup!$B186,'CDCM Volume Forecasts'!$A$27:$AG$123,G$137,FALSE)</f>
        <v>0</v>
      </c>
      <c r="H221" s="10"/>
      <c r="I221"/>
      <c r="J221"/>
      <c r="K221"/>
    </row>
    <row r="222" spans="1:11" ht="15">
      <c r="A222" s="11" t="s">
        <v>195</v>
      </c>
      <c r="B222" s="4">
        <f>VLOOKUP(Vlookup!$B187,'CDCM Volume Forecasts'!$A$27:$AG$123,B$137,FALSE)</f>
        <v>0</v>
      </c>
      <c r="C222" s="8">
        <f>VLOOKUP(Vlookup!$B187,'CDCM Volume Forecasts'!$A$27:$AG$123,C$137,FALSE)</f>
        <v>0</v>
      </c>
      <c r="D222" s="8">
        <f>VLOOKUP(Vlookup!$B187,'CDCM Volume Forecasts'!$A$27:$AG$123,D$137,FALSE)</f>
        <v>0</v>
      </c>
      <c r="E222" s="14">
        <f>VLOOKUP(Vlookup!$B187,'CDCM Volume Forecasts'!$A$27:$AG$123,E$137,FALSE)</f>
        <v>0</v>
      </c>
      <c r="F222" s="8">
        <f>VLOOKUP(Vlookup!$B187,'CDCM Volume Forecasts'!$A$27:$AG$123,F$137,FALSE)</f>
        <v>0</v>
      </c>
      <c r="G222" s="4">
        <f>VLOOKUP(Vlookup!$B187,'CDCM Volume Forecasts'!$A$27:$AG$123,G$137,FALSE)</f>
        <v>0</v>
      </c>
      <c r="H222" s="10"/>
      <c r="I222"/>
      <c r="J222"/>
      <c r="K222"/>
    </row>
    <row r="223" spans="1:11" ht="15">
      <c r="A223" s="17" t="s">
        <v>196</v>
      </c>
      <c r="B223" s="18">
        <f>VLOOKUP(Vlookup!$B188,'CDCM Volume Forecasts'!$A$27:$AG$123,B$137,FALSE)</f>
        <v>0</v>
      </c>
      <c r="C223" s="18">
        <f>VLOOKUP(Vlookup!$B188,'CDCM Volume Forecasts'!$A$27:$AG$123,C$137,FALSE)</f>
        <v>0</v>
      </c>
      <c r="D223" s="18">
        <f>VLOOKUP(Vlookup!$B188,'CDCM Volume Forecasts'!$A$27:$AG$123,D$137,FALSE)</f>
        <v>0</v>
      </c>
      <c r="E223" s="18">
        <f>VLOOKUP(Vlookup!$B188,'CDCM Volume Forecasts'!$A$27:$AG$123,E$137,FALSE)</f>
        <v>0</v>
      </c>
      <c r="F223" s="18">
        <f>VLOOKUP(Vlookup!$B188,'CDCM Volume Forecasts'!$A$27:$AG$123,F$137,FALSE)</f>
        <v>0</v>
      </c>
      <c r="G223" s="18">
        <f>VLOOKUP(Vlookup!$B188,'CDCM Volume Forecasts'!$A$27:$AG$123,G$137,FALSE)</f>
        <v>0</v>
      </c>
      <c r="H223" s="10"/>
      <c r="I223"/>
      <c r="J223"/>
      <c r="K223"/>
    </row>
    <row r="224" spans="1:11" ht="15">
      <c r="A224" s="11" t="s">
        <v>102</v>
      </c>
      <c r="B224" s="4">
        <f>VLOOKUP(Vlookup!$B189,'CDCM Volume Forecasts'!$A$27:$AG$123,B$137,FALSE)</f>
        <v>130.2286029240839</v>
      </c>
      <c r="C224" s="4">
        <f>VLOOKUP(Vlookup!$B189,'CDCM Volume Forecasts'!$A$27:$AG$123,C$137,FALSE)</f>
        <v>867.1493329537202</v>
      </c>
      <c r="D224" s="4">
        <f>VLOOKUP(Vlookup!$B189,'CDCM Volume Forecasts'!$A$27:$AG$123,D$137,FALSE)</f>
        <v>897.89995991983972</v>
      </c>
      <c r="E224" s="14">
        <f>VLOOKUP(Vlookup!$B189,'CDCM Volume Forecasts'!$A$27:$AG$123,E$137,FALSE)</f>
        <v>11</v>
      </c>
      <c r="F224" s="8">
        <f>VLOOKUP(Vlookup!$B189,'CDCM Volume Forecasts'!$A$27:$AG$123,F$137,FALSE)</f>
        <v>0</v>
      </c>
      <c r="G224" s="4">
        <f>VLOOKUP(Vlookup!$B189,'CDCM Volume Forecasts'!$A$27:$AG$123,G$137,FALSE)</f>
        <v>31</v>
      </c>
      <c r="H224" s="10"/>
      <c r="I224"/>
      <c r="J224"/>
      <c r="K224"/>
    </row>
    <row r="225" spans="1:11" ht="15">
      <c r="A225" s="11" t="s">
        <v>197</v>
      </c>
      <c r="B225" s="4">
        <f>VLOOKUP(Vlookup!$B190,'CDCM Volume Forecasts'!$A$27:$AG$123,B$137,FALSE)</f>
        <v>0</v>
      </c>
      <c r="C225" s="4">
        <f>VLOOKUP(Vlookup!$B190,'CDCM Volume Forecasts'!$A$27:$AG$123,C$137,FALSE)</f>
        <v>0</v>
      </c>
      <c r="D225" s="4">
        <f>VLOOKUP(Vlookup!$B190,'CDCM Volume Forecasts'!$A$27:$AG$123,D$137,FALSE)</f>
        <v>0</v>
      </c>
      <c r="E225" s="14">
        <f>VLOOKUP(Vlookup!$B190,'CDCM Volume Forecasts'!$A$27:$AG$123,E$137,FALSE)</f>
        <v>0</v>
      </c>
      <c r="F225" s="8">
        <f>VLOOKUP(Vlookup!$B190,'CDCM Volume Forecasts'!$A$27:$AG$123,F$137,FALSE)</f>
        <v>0</v>
      </c>
      <c r="G225" s="4">
        <f>VLOOKUP(Vlookup!$B190,'CDCM Volume Forecasts'!$A$27:$AG$123,G$137,FALSE)</f>
        <v>0</v>
      </c>
      <c r="H225" s="10"/>
      <c r="I225"/>
      <c r="J225"/>
      <c r="K225"/>
    </row>
    <row r="226" spans="1:11" ht="15">
      <c r="A226" s="11" t="s">
        <v>198</v>
      </c>
      <c r="B226" s="4">
        <f>VLOOKUP(Vlookup!$B191,'CDCM Volume Forecasts'!$A$27:$AG$123,B$137,FALSE)</f>
        <v>0</v>
      </c>
      <c r="C226" s="4">
        <f>VLOOKUP(Vlookup!$B191,'CDCM Volume Forecasts'!$A$27:$AG$123,C$137,FALSE)</f>
        <v>0</v>
      </c>
      <c r="D226" s="4">
        <f>VLOOKUP(Vlookup!$B191,'CDCM Volume Forecasts'!$A$27:$AG$123,D$137,FALSE)</f>
        <v>0</v>
      </c>
      <c r="E226" s="14">
        <f>VLOOKUP(Vlookup!$B191,'CDCM Volume Forecasts'!$A$27:$AG$123,E$137,FALSE)</f>
        <v>0</v>
      </c>
      <c r="F226" s="8">
        <f>VLOOKUP(Vlookup!$B191,'CDCM Volume Forecasts'!$A$27:$AG$123,F$137,FALSE)</f>
        <v>0</v>
      </c>
      <c r="G226" s="4">
        <f>VLOOKUP(Vlookup!$B191,'CDCM Volume Forecasts'!$A$27:$AG$123,G$137,FALSE)</f>
        <v>0</v>
      </c>
      <c r="H226" s="10"/>
      <c r="I226"/>
      <c r="J226"/>
      <c r="K226"/>
    </row>
    <row r="227" spans="1:11" ht="15">
      <c r="A227" s="17" t="s">
        <v>199</v>
      </c>
      <c r="B227" s="18">
        <f>VLOOKUP(Vlookup!$B192,'CDCM Volume Forecasts'!$A$27:$AG$123,B$137,FALSE)</f>
        <v>0</v>
      </c>
      <c r="C227" s="18">
        <f>VLOOKUP(Vlookup!$B192,'CDCM Volume Forecasts'!$A$27:$AG$123,C$137,FALSE)</f>
        <v>0</v>
      </c>
      <c r="D227" s="18">
        <f>VLOOKUP(Vlookup!$B192,'CDCM Volume Forecasts'!$A$27:$AG$123,D$137,FALSE)</f>
        <v>0</v>
      </c>
      <c r="E227" s="18">
        <f>VLOOKUP(Vlookup!$B192,'CDCM Volume Forecasts'!$A$27:$AG$123,E$137,FALSE)</f>
        <v>0</v>
      </c>
      <c r="F227" s="18">
        <f>VLOOKUP(Vlookup!$B192,'CDCM Volume Forecasts'!$A$27:$AG$123,F$137,FALSE)</f>
        <v>0</v>
      </c>
      <c r="G227" s="18">
        <f>VLOOKUP(Vlookup!$B192,'CDCM Volume Forecasts'!$A$27:$AG$123,G$137,FALSE)</f>
        <v>0</v>
      </c>
      <c r="H227" s="10"/>
      <c r="I227"/>
      <c r="J227"/>
      <c r="K227"/>
    </row>
    <row r="228" spans="1:11" ht="15">
      <c r="A228" s="11" t="s">
        <v>103</v>
      </c>
      <c r="B228" s="4">
        <f>VLOOKUP(Vlookup!$B193,'CDCM Volume Forecasts'!$A$27:$AG$123,B$137,FALSE)</f>
        <v>37.670999999999999</v>
      </c>
      <c r="C228" s="8">
        <f>VLOOKUP(Vlookup!$B193,'CDCM Volume Forecasts'!$A$27:$AG$123,C$137,FALSE)</f>
        <v>0</v>
      </c>
      <c r="D228" s="8">
        <f>VLOOKUP(Vlookup!$B193,'CDCM Volume Forecasts'!$A$27:$AG$123,D$137,FALSE)</f>
        <v>0</v>
      </c>
      <c r="E228" s="14">
        <f>VLOOKUP(Vlookup!$B193,'CDCM Volume Forecasts'!$A$27:$AG$123,E$137,FALSE)</f>
        <v>1</v>
      </c>
      <c r="F228" s="8">
        <f>VLOOKUP(Vlookup!$B193,'CDCM Volume Forecasts'!$A$27:$AG$123,F$137,FALSE)</f>
        <v>0</v>
      </c>
      <c r="G228" s="4">
        <f>VLOOKUP(Vlookup!$B193,'CDCM Volume Forecasts'!$A$27:$AG$123,G$137,FALSE)</f>
        <v>0</v>
      </c>
      <c r="H228" s="10"/>
      <c r="I228"/>
      <c r="J228"/>
      <c r="K228"/>
    </row>
    <row r="229" spans="1:11" ht="15">
      <c r="A229" s="11" t="s">
        <v>200</v>
      </c>
      <c r="B229" s="4">
        <f>VLOOKUP(Vlookup!$B194,'CDCM Volume Forecasts'!$A$27:$AG$123,B$137,FALSE)</f>
        <v>0</v>
      </c>
      <c r="C229" s="8">
        <f>VLOOKUP(Vlookup!$B194,'CDCM Volume Forecasts'!$A$27:$AG$123,C$137,FALSE)</f>
        <v>0</v>
      </c>
      <c r="D229" s="8">
        <f>VLOOKUP(Vlookup!$B194,'CDCM Volume Forecasts'!$A$27:$AG$123,D$137,FALSE)</f>
        <v>0</v>
      </c>
      <c r="E229" s="14">
        <f>VLOOKUP(Vlookup!$B194,'CDCM Volume Forecasts'!$A$27:$AG$123,E$137,FALSE)</f>
        <v>0</v>
      </c>
      <c r="F229" s="8">
        <f>VLOOKUP(Vlookup!$B194,'CDCM Volume Forecasts'!$A$27:$AG$123,F$137,FALSE)</f>
        <v>0</v>
      </c>
      <c r="G229" s="4">
        <f>VLOOKUP(Vlookup!$B194,'CDCM Volume Forecasts'!$A$27:$AG$123,G$137,FALSE)</f>
        <v>0</v>
      </c>
      <c r="H229" s="10"/>
      <c r="I229"/>
      <c r="J229"/>
      <c r="K229"/>
    </row>
    <row r="230" spans="1:11" ht="15">
      <c r="A230" s="17" t="s">
        <v>201</v>
      </c>
      <c r="B230" s="18">
        <f>VLOOKUP(Vlookup!$B195,'CDCM Volume Forecasts'!$A$27:$AG$123,B$137,FALSE)</f>
        <v>0</v>
      </c>
      <c r="C230" s="18">
        <f>VLOOKUP(Vlookup!$B195,'CDCM Volume Forecasts'!$A$27:$AG$123,C$137,FALSE)</f>
        <v>0</v>
      </c>
      <c r="D230" s="18">
        <f>VLOOKUP(Vlookup!$B195,'CDCM Volume Forecasts'!$A$27:$AG$123,D$137,FALSE)</f>
        <v>0</v>
      </c>
      <c r="E230" s="18">
        <f>VLOOKUP(Vlookup!$B195,'CDCM Volume Forecasts'!$A$27:$AG$123,E$137,FALSE)</f>
        <v>0</v>
      </c>
      <c r="F230" s="18">
        <f>VLOOKUP(Vlookup!$B195,'CDCM Volume Forecasts'!$A$27:$AG$123,F$137,FALSE)</f>
        <v>0</v>
      </c>
      <c r="G230" s="18">
        <f>VLOOKUP(Vlookup!$B195,'CDCM Volume Forecasts'!$A$27:$AG$123,G$137,FALSE)</f>
        <v>0</v>
      </c>
      <c r="H230" s="10"/>
      <c r="I230"/>
      <c r="J230"/>
      <c r="K230"/>
    </row>
    <row r="231" spans="1:11" ht="15">
      <c r="A231" s="11" t="s">
        <v>104</v>
      </c>
      <c r="B231" s="4">
        <f>VLOOKUP(Vlookup!$B196,'CDCM Volume Forecasts'!$A$27:$AG$123,B$137,FALSE)</f>
        <v>0</v>
      </c>
      <c r="C231" s="4">
        <f>VLOOKUP(Vlookup!$B196,'CDCM Volume Forecasts'!$A$27:$AG$123,C$137,FALSE)</f>
        <v>0</v>
      </c>
      <c r="D231" s="4">
        <f>VLOOKUP(Vlookup!$B196,'CDCM Volume Forecasts'!$A$27:$AG$123,D$137,FALSE)</f>
        <v>0</v>
      </c>
      <c r="E231" s="14">
        <f>VLOOKUP(Vlookup!$B196,'CDCM Volume Forecasts'!$A$27:$AG$123,E$137,FALSE)</f>
        <v>0</v>
      </c>
      <c r="F231" s="8">
        <f>VLOOKUP(Vlookup!$B196,'CDCM Volume Forecasts'!$A$27:$AG$123,F$137,FALSE)</f>
        <v>0</v>
      </c>
      <c r="G231" s="4">
        <f>VLOOKUP(Vlookup!$B196,'CDCM Volume Forecasts'!$A$27:$AG$123,G$137,FALSE)</f>
        <v>0</v>
      </c>
      <c r="H231" s="10"/>
      <c r="I231"/>
      <c r="J231"/>
      <c r="K231"/>
    </row>
    <row r="232" spans="1:11" ht="15">
      <c r="A232" s="11" t="s">
        <v>202</v>
      </c>
      <c r="B232" s="4">
        <f>VLOOKUP(Vlookup!$B197,'CDCM Volume Forecasts'!$A$27:$AG$123,B$137,FALSE)</f>
        <v>0</v>
      </c>
      <c r="C232" s="4">
        <f>VLOOKUP(Vlookup!$B197,'CDCM Volume Forecasts'!$A$27:$AG$123,C$137,FALSE)</f>
        <v>0</v>
      </c>
      <c r="D232" s="4">
        <f>VLOOKUP(Vlookup!$B197,'CDCM Volume Forecasts'!$A$27:$AG$123,D$137,FALSE)</f>
        <v>0</v>
      </c>
      <c r="E232" s="14">
        <f>VLOOKUP(Vlookup!$B197,'CDCM Volume Forecasts'!$A$27:$AG$123,E$137,FALSE)</f>
        <v>0</v>
      </c>
      <c r="F232" s="8">
        <f>VLOOKUP(Vlookup!$B197,'CDCM Volume Forecasts'!$A$27:$AG$123,F$137,FALSE)</f>
        <v>0</v>
      </c>
      <c r="G232" s="4">
        <f>VLOOKUP(Vlookup!$B197,'CDCM Volume Forecasts'!$A$27:$AG$123,G$137,FALSE)</f>
        <v>0</v>
      </c>
      <c r="H232" s="10"/>
      <c r="I232"/>
      <c r="J232"/>
      <c r="K232"/>
    </row>
    <row r="233" spans="1:11" ht="15">
      <c r="A233" s="17" t="s">
        <v>203</v>
      </c>
      <c r="B233" s="18">
        <f>VLOOKUP(Vlookup!$B198,'CDCM Volume Forecasts'!$A$27:$AG$123,B$137,FALSE)</f>
        <v>0</v>
      </c>
      <c r="C233" s="18">
        <f>VLOOKUP(Vlookup!$B198,'CDCM Volume Forecasts'!$A$27:$AG$123,C$137,FALSE)</f>
        <v>0</v>
      </c>
      <c r="D233" s="18">
        <f>VLOOKUP(Vlookup!$B198,'CDCM Volume Forecasts'!$A$27:$AG$123,D$137,FALSE)</f>
        <v>0</v>
      </c>
      <c r="E233" s="18">
        <f>VLOOKUP(Vlookup!$B198,'CDCM Volume Forecasts'!$A$27:$AG$123,E$137,FALSE)</f>
        <v>0</v>
      </c>
      <c r="F233" s="18">
        <f>VLOOKUP(Vlookup!$B198,'CDCM Volume Forecasts'!$A$27:$AG$123,F$137,FALSE)</f>
        <v>0</v>
      </c>
      <c r="G233" s="18">
        <f>VLOOKUP(Vlookup!$B198,'CDCM Volume Forecasts'!$A$27:$AG$123,G$137,FALSE)</f>
        <v>0</v>
      </c>
      <c r="H233" s="10"/>
      <c r="I233"/>
      <c r="J233"/>
      <c r="K233"/>
    </row>
    <row r="234" spans="1:11" ht="15">
      <c r="A234" s="11" t="s">
        <v>112</v>
      </c>
      <c r="B234" s="4">
        <f>VLOOKUP(Vlookup!$B199,'CDCM Volume Forecasts'!$A$27:$AG$123,B$137,FALSE)</f>
        <v>44577.689286771631</v>
      </c>
      <c r="C234" s="8">
        <f>VLOOKUP(Vlookup!$B199,'CDCM Volume Forecasts'!$A$27:$AG$123,C$137,FALSE)</f>
        <v>0</v>
      </c>
      <c r="D234" s="8">
        <f>VLOOKUP(Vlookup!$B199,'CDCM Volume Forecasts'!$A$27:$AG$123,D$137,FALSE)</f>
        <v>0</v>
      </c>
      <c r="E234" s="14">
        <f>VLOOKUP(Vlookup!$B199,'CDCM Volume Forecasts'!$A$27:$AG$123,E$137,FALSE)</f>
        <v>27</v>
      </c>
      <c r="F234" s="8">
        <f>VLOOKUP(Vlookup!$B199,'CDCM Volume Forecasts'!$A$27:$AG$123,F$137,FALSE)</f>
        <v>0</v>
      </c>
      <c r="G234" s="4">
        <f>VLOOKUP(Vlookup!$B199,'CDCM Volume Forecasts'!$A$27:$AG$123,G$137,FALSE)</f>
        <v>859</v>
      </c>
      <c r="H234" s="10"/>
      <c r="I234"/>
      <c r="J234"/>
      <c r="K234"/>
    </row>
    <row r="235" spans="1:11" ht="15">
      <c r="A235" s="11" t="s">
        <v>204</v>
      </c>
      <c r="B235" s="4">
        <f>VLOOKUP(Vlookup!$B200,'CDCM Volume Forecasts'!$A$27:$AG$123,B$137,FALSE)</f>
        <v>0</v>
      </c>
      <c r="C235" s="8">
        <f>VLOOKUP(Vlookup!$B200,'CDCM Volume Forecasts'!$A$27:$AG$123,C$137,FALSE)</f>
        <v>0</v>
      </c>
      <c r="D235" s="8">
        <f>VLOOKUP(Vlookup!$B200,'CDCM Volume Forecasts'!$A$27:$AG$123,D$137,FALSE)</f>
        <v>0</v>
      </c>
      <c r="E235" s="14">
        <f>VLOOKUP(Vlookup!$B200,'CDCM Volume Forecasts'!$A$27:$AG$123,E$137,FALSE)</f>
        <v>0</v>
      </c>
      <c r="F235" s="8">
        <f>VLOOKUP(Vlookup!$B200,'CDCM Volume Forecasts'!$A$27:$AG$123,F$137,FALSE)</f>
        <v>0</v>
      </c>
      <c r="G235" s="4">
        <f>VLOOKUP(Vlookup!$B200,'CDCM Volume Forecasts'!$A$27:$AG$123,G$137,FALSE)</f>
        <v>0</v>
      </c>
      <c r="H235" s="10"/>
      <c r="I235"/>
      <c r="J235"/>
      <c r="K235"/>
    </row>
    <row r="236" spans="1:11" ht="15">
      <c r="A236" s="17" t="s">
        <v>205</v>
      </c>
      <c r="B236" s="18">
        <f>VLOOKUP(Vlookup!$B201,'CDCM Volume Forecasts'!$A$27:$AG$123,B$137,FALSE)</f>
        <v>0</v>
      </c>
      <c r="C236" s="18">
        <f>VLOOKUP(Vlookup!$B201,'CDCM Volume Forecasts'!$A$27:$AG$123,C$137,FALSE)</f>
        <v>0</v>
      </c>
      <c r="D236" s="18">
        <f>VLOOKUP(Vlookup!$B201,'CDCM Volume Forecasts'!$A$27:$AG$123,D$137,FALSE)</f>
        <v>0</v>
      </c>
      <c r="E236" s="18">
        <f>VLOOKUP(Vlookup!$B201,'CDCM Volume Forecasts'!$A$27:$AG$123,E$137,FALSE)</f>
        <v>0</v>
      </c>
      <c r="F236" s="18">
        <f>VLOOKUP(Vlookup!$B201,'CDCM Volume Forecasts'!$A$27:$AG$123,F$137,FALSE)</f>
        <v>0</v>
      </c>
      <c r="G236" s="18">
        <f>VLOOKUP(Vlookup!$B201,'CDCM Volume Forecasts'!$A$27:$AG$123,G$137,FALSE)</f>
        <v>0</v>
      </c>
      <c r="H236" s="10"/>
      <c r="I236"/>
      <c r="J236"/>
      <c r="K236"/>
    </row>
    <row r="237" spans="1:11" ht="15">
      <c r="A237" s="11" t="s">
        <v>113</v>
      </c>
      <c r="B237" s="4">
        <f>VLOOKUP(Vlookup!$B202,'CDCM Volume Forecasts'!$A$27:$AG$123,B$137,FALSE)</f>
        <v>9070.7235647319703</v>
      </c>
      <c r="C237" s="4">
        <f>VLOOKUP(Vlookup!$B202,'CDCM Volume Forecasts'!$A$27:$AG$123,C$137,FALSE)</f>
        <v>44174.558442663067</v>
      </c>
      <c r="D237" s="4">
        <f>VLOOKUP(Vlookup!$B202,'CDCM Volume Forecasts'!$A$27:$AG$123,D$137,FALSE)</f>
        <v>48120.15616862481</v>
      </c>
      <c r="E237" s="14">
        <f>VLOOKUP(Vlookup!$B202,'CDCM Volume Forecasts'!$A$27:$AG$123,E$137,FALSE)</f>
        <v>27</v>
      </c>
      <c r="F237" s="8">
        <f>VLOOKUP(Vlookup!$B202,'CDCM Volume Forecasts'!$A$27:$AG$123,F$137,FALSE)</f>
        <v>0</v>
      </c>
      <c r="G237" s="4">
        <f>VLOOKUP(Vlookup!$B202,'CDCM Volume Forecasts'!$A$27:$AG$123,G$137,FALSE)</f>
        <v>742</v>
      </c>
      <c r="H237" s="10"/>
      <c r="I237"/>
      <c r="J237"/>
      <c r="K237"/>
    </row>
    <row r="238" spans="1:11" ht="15">
      <c r="A238" s="11" t="s">
        <v>206</v>
      </c>
      <c r="B238" s="4">
        <f>VLOOKUP(Vlookup!$B203,'CDCM Volume Forecasts'!$A$27:$AG$123,B$137,FALSE)</f>
        <v>0</v>
      </c>
      <c r="C238" s="4">
        <f>VLOOKUP(Vlookup!$B203,'CDCM Volume Forecasts'!$A$27:$AG$123,C$137,FALSE)</f>
        <v>0</v>
      </c>
      <c r="D238" s="4">
        <f>VLOOKUP(Vlookup!$B203,'CDCM Volume Forecasts'!$A$27:$AG$123,D$137,FALSE)</f>
        <v>0</v>
      </c>
      <c r="E238" s="14">
        <f>VLOOKUP(Vlookup!$B203,'CDCM Volume Forecasts'!$A$27:$AG$123,E$137,FALSE)</f>
        <v>0</v>
      </c>
      <c r="F238" s="8">
        <f>VLOOKUP(Vlookup!$B203,'CDCM Volume Forecasts'!$A$27:$AG$123,F$137,FALSE)</f>
        <v>0</v>
      </c>
      <c r="G238" s="4">
        <f>VLOOKUP(Vlookup!$B203,'CDCM Volume Forecasts'!$A$27:$AG$123,G$137,FALSE)</f>
        <v>0</v>
      </c>
      <c r="H238" s="10"/>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11" t="s">
        <v>209</v>
      </c>
      <c r="B244" s="14">
        <f>VLOOKUP(Vlookup!B209,'CDCM Forecast Data'!$A$14:$I$271,9,FALSE)</f>
        <v>11182182.267299153</v>
      </c>
      <c r="C244" s="10"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11" t="s">
        <v>215</v>
      </c>
      <c r="B249" s="14">
        <f>VLOOKUP(Vlookup!B214,'CDCM Forecast Data'!$A$14:$I$271,9,FALSE)</f>
        <v>20679081.318215538</v>
      </c>
      <c r="C249" s="14">
        <f>VLOOKUP(Vlookup!C214,'CDCM Forecast Data'!$A$14:$I$271,9,FALSE)</f>
        <v>67718028.910105407</v>
      </c>
      <c r="D249" s="16">
        <f>VLOOKUP(Vlookup!D214,'CDCM Forecast Data'!$A$14:$I$271,9,FALSE)</f>
        <v>0.6</v>
      </c>
      <c r="E249" s="14">
        <f>VLOOKUP(Vlookup!E214,'CDCM Forecast Data'!$A$14:$I$271,9,FALSE)</f>
        <v>18298851.800878648</v>
      </c>
      <c r="F249" s="10"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11" t="s">
        <v>228</v>
      </c>
      <c r="B257" s="16">
        <f>VLOOKUP(Vlookup!B222,'CDCM Forecast Data'!$A$14:$I$271,9,FALSE)</f>
        <v>0</v>
      </c>
      <c r="C257" s="16">
        <f>VLOOKUP(Vlookup!C222,'CDCM Forecast Data'!$A$14:$I$271,9,FALSE)</f>
        <v>0</v>
      </c>
      <c r="D257" s="16">
        <f>VLOOKUP(Vlookup!D222,'CDCM Forecast Data'!$A$14:$I$271,9,FALSE)</f>
        <v>0</v>
      </c>
      <c r="E257" s="16">
        <f>VLOOKUP(Vlookup!E222,'CDCM Forecast Data'!$A$14:$I$271,9,FALSE)</f>
        <v>0.75</v>
      </c>
      <c r="F257" s="16">
        <f>VLOOKUP(Vlookup!F222,'CDCM Forecast Data'!$A$14:$I$271,9,FALSE)</f>
        <v>0.75</v>
      </c>
      <c r="G257" s="16">
        <f>VLOOKUP(Vlookup!G222,'CDCM Forecast Data'!$A$14:$I$271,9,FALSE)</f>
        <v>0.75</v>
      </c>
      <c r="H257" s="16">
        <f>VLOOKUP(Vlookup!H222,'CDCM Forecast Data'!$A$14:$I$271,9,FALSE)</f>
        <v>0.95</v>
      </c>
      <c r="I257" s="16">
        <f>VLOOKUP(Vlookup!I222,'CDCM Forecast Data'!$A$14:$I$271,9,FALSE)</f>
        <v>0.95</v>
      </c>
      <c r="J257" s="10" t="s">
        <v>262</v>
      </c>
      <c r="K257"/>
    </row>
    <row r="258" spans="1:11" ht="15">
      <c r="A258" s="11" t="s">
        <v>229</v>
      </c>
      <c r="B258" s="16">
        <f>VLOOKUP(Vlookup!B223,'CDCM Forecast Data'!$A$14:$I$271,9,FALSE)</f>
        <v>0</v>
      </c>
      <c r="C258" s="16">
        <f>VLOOKUP(Vlookup!C223,'CDCM Forecast Data'!$A$14:$I$271,9,FALSE)</f>
        <v>0</v>
      </c>
      <c r="D258" s="16">
        <f>VLOOKUP(Vlookup!D223,'CDCM Forecast Data'!$A$14:$I$271,9,FALSE)</f>
        <v>0</v>
      </c>
      <c r="E258" s="16">
        <f>VLOOKUP(Vlookup!E223,'CDCM Forecast Data'!$A$14:$I$271,9,FALSE)</f>
        <v>0.75</v>
      </c>
      <c r="F258" s="16">
        <f>VLOOKUP(Vlookup!F223,'CDCM Forecast Data'!$A$14:$I$271,9,FALSE)</f>
        <v>0.75</v>
      </c>
      <c r="G258" s="16">
        <f>VLOOKUP(Vlookup!G223,'CDCM Forecast Data'!$A$14:$I$271,9,FALSE)</f>
        <v>0.75</v>
      </c>
      <c r="H258" s="16">
        <f>VLOOKUP(Vlookup!H223,'CDCM Forecast Data'!$A$14:$I$271,9,FALSE)</f>
        <v>0.95</v>
      </c>
      <c r="I258" s="8"/>
      <c r="J258" s="10" t="s">
        <v>262</v>
      </c>
      <c r="K258"/>
    </row>
    <row r="259" spans="1:11" ht="15">
      <c r="A259" s="11" t="s">
        <v>230</v>
      </c>
      <c r="B259" s="16">
        <f>VLOOKUP(Vlookup!B224,'CDCM Forecast Data'!$A$14:$I$271,9,FALSE)</f>
        <v>0</v>
      </c>
      <c r="C259" s="16">
        <f>VLOOKUP(Vlookup!C224,'CDCM Forecast Data'!$A$14:$I$271,9,FALSE)</f>
        <v>0.36</v>
      </c>
      <c r="D259" s="16">
        <f>VLOOKUP(Vlookup!D224,'CDCM Forecast Data'!$A$14:$I$271,9,FALSE)</f>
        <v>0.36</v>
      </c>
      <c r="E259" s="16">
        <f>VLOOKUP(Vlookup!E224,'CDCM Forecast Data'!$A$14:$I$271,9,FALSE)</f>
        <v>0.91</v>
      </c>
      <c r="F259" s="16">
        <f>VLOOKUP(Vlookup!F224,'CDCM Forecast Data'!$A$14:$I$271,9,FALSE)</f>
        <v>0.91</v>
      </c>
      <c r="G259" s="16">
        <f>VLOOKUP(Vlookup!G224,'CDCM Forecast Data'!$A$14:$I$271,9,FALSE)</f>
        <v>0.91</v>
      </c>
      <c r="H259" s="8"/>
      <c r="I259" s="8"/>
      <c r="J259" s="10" t="s">
        <v>262</v>
      </c>
      <c r="K259"/>
    </row>
    <row r="260" spans="1:11" ht="15">
      <c r="A260" s="11" t="s">
        <v>231</v>
      </c>
      <c r="B260" s="16">
        <f>VLOOKUP(Vlookup!B225,'CDCM Forecast Data'!$A$14:$I$271,9,FALSE)</f>
        <v>0</v>
      </c>
      <c r="C260" s="16">
        <f>VLOOKUP(Vlookup!C225,'CDCM Forecast Data'!$A$14:$I$271,9,FALSE)</f>
        <v>0.36</v>
      </c>
      <c r="D260" s="16">
        <f>VLOOKUP(Vlookup!D225,'CDCM Forecast Data'!$A$14:$I$271,9,FALSE)</f>
        <v>0.36</v>
      </c>
      <c r="E260" s="16">
        <f>VLOOKUP(Vlookup!E225,'CDCM Forecast Data'!$A$14:$I$271,9,FALSE)</f>
        <v>0.91</v>
      </c>
      <c r="F260" s="8"/>
      <c r="G260" s="8"/>
      <c r="H260" s="8"/>
      <c r="I260" s="8"/>
      <c r="J260" s="10"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11" t="s">
        <v>92</v>
      </c>
      <c r="B265" s="16">
        <f>VLOOKUP(Vlookup!B235,'CDCM Forecast Data'!$A$14:$I$271,5,FALSE)</f>
        <v>0.11298330820969384</v>
      </c>
      <c r="C265" s="16">
        <f>VLOOKUP(Vlookup!C235,'CDCM Forecast Data'!$A$14:$I$271,5,FALSE)</f>
        <v>0.50223801835264836</v>
      </c>
      <c r="D265" s="16">
        <f>VLOOKUP(Vlookup!D235,'CDCM Forecast Data'!$A$14:$I$271,5,FALSE)</f>
        <v>0.38477867343765787</v>
      </c>
      <c r="E265" s="10" t="s">
        <v>262</v>
      </c>
      <c r="F265"/>
      <c r="G265"/>
      <c r="H265"/>
      <c r="I265"/>
      <c r="J265"/>
      <c r="K265"/>
    </row>
    <row r="266" spans="1:11" ht="15">
      <c r="A266" s="11" t="s">
        <v>93</v>
      </c>
      <c r="B266" s="16">
        <f>VLOOKUP(Vlookup!B236,'CDCM Forecast Data'!$A$14:$I$271,5,FALSE)</f>
        <v>0.13327131053018113</v>
      </c>
      <c r="C266" s="16">
        <f>VLOOKUP(Vlookup!C236,'CDCM Forecast Data'!$A$14:$I$271,5,FALSE)</f>
        <v>0.57760793092211993</v>
      </c>
      <c r="D266" s="16">
        <f>VLOOKUP(Vlookup!D236,'CDCM Forecast Data'!$A$14:$I$271,5,FALSE)</f>
        <v>0.28912075854769903</v>
      </c>
      <c r="E266" s="10" t="s">
        <v>262</v>
      </c>
      <c r="F266"/>
      <c r="G266"/>
      <c r="H266"/>
      <c r="I266"/>
      <c r="J266"/>
      <c r="K266"/>
    </row>
    <row r="267" spans="1:11" ht="15">
      <c r="A267" s="11" t="s">
        <v>129</v>
      </c>
      <c r="B267" s="16">
        <f>VLOOKUP(Vlookup!B237,'CDCM Forecast Data'!$A$14:$I$271,5,FALSE)</f>
        <v>2.8375924531958633E-7</v>
      </c>
      <c r="C267" s="16">
        <f>VLOOKUP(Vlookup!C237,'CDCM Forecast Data'!$A$14:$I$271,5,FALSE)</f>
        <v>0.16926612955281603</v>
      </c>
      <c r="D267" s="16">
        <f>VLOOKUP(Vlookup!D237,'CDCM Forecast Data'!$A$14:$I$271,5,FALSE)</f>
        <v>0.83073358668793862</v>
      </c>
      <c r="E267" s="10"/>
      <c r="F267"/>
      <c r="G267"/>
      <c r="H267"/>
      <c r="I267"/>
      <c r="J267"/>
      <c r="K267"/>
    </row>
    <row r="268" spans="1:11" ht="15">
      <c r="A268" s="11" t="s">
        <v>94</v>
      </c>
      <c r="B268" s="16">
        <f>VLOOKUP(Vlookup!B238,'CDCM Forecast Data'!$A$14:$I$271,5,FALSE)</f>
        <v>7.1203946559325326E-2</v>
      </c>
      <c r="C268" s="16">
        <f>VLOOKUP(Vlookup!C238,'CDCM Forecast Data'!$A$14:$I$271,5,FALSE)</f>
        <v>0.58452126520102876</v>
      </c>
      <c r="D268" s="16">
        <f>VLOOKUP(Vlookup!D238,'CDCM Forecast Data'!$A$14:$I$271,5,FALSE)</f>
        <v>0.3442747882396458</v>
      </c>
      <c r="E268" s="10"/>
      <c r="F268"/>
      <c r="G268"/>
      <c r="H268"/>
      <c r="I268"/>
      <c r="J268"/>
      <c r="K268"/>
    </row>
    <row r="269" spans="1:11" ht="15">
      <c r="A269" s="11" t="s">
        <v>95</v>
      </c>
      <c r="B269" s="16">
        <f>VLOOKUP(Vlookup!B239,'CDCM Forecast Data'!$A$14:$I$271,5,FALSE)</f>
        <v>9.7838540209257197E-2</v>
      </c>
      <c r="C269" s="16">
        <f>VLOOKUP(Vlookup!C239,'CDCM Forecast Data'!$A$14:$I$271,5,FALSE)</f>
        <v>0.65520507591280774</v>
      </c>
      <c r="D269" s="16">
        <f>VLOOKUP(Vlookup!D239,'CDCM Forecast Data'!$A$14:$I$271,5,FALSE)</f>
        <v>0.24695638387793503</v>
      </c>
      <c r="E269" s="10" t="s">
        <v>262</v>
      </c>
      <c r="F269"/>
      <c r="G269"/>
      <c r="H269"/>
      <c r="I269"/>
      <c r="J269"/>
      <c r="K269"/>
    </row>
    <row r="270" spans="1:11" ht="15">
      <c r="A270" s="11" t="s">
        <v>130</v>
      </c>
      <c r="B270" s="16">
        <f>VLOOKUP(Vlookup!B240,'CDCM Forecast Data'!$A$14:$I$271,5,FALSE)</f>
        <v>8.9699691483682498E-5</v>
      </c>
      <c r="C270" s="16">
        <f>VLOOKUP(Vlookup!C240,'CDCM Forecast Data'!$A$14:$I$271,5,FALSE)</f>
        <v>0.17771579837582263</v>
      </c>
      <c r="D270" s="16">
        <f>VLOOKUP(Vlookup!D240,'CDCM Forecast Data'!$A$14:$I$271,5,FALSE)</f>
        <v>0.82219450193269361</v>
      </c>
      <c r="E270" s="10" t="s">
        <v>262</v>
      </c>
      <c r="F270"/>
      <c r="G270"/>
      <c r="H270"/>
      <c r="I270"/>
      <c r="J270"/>
      <c r="K270"/>
    </row>
    <row r="271" spans="1:11" ht="15">
      <c r="A271" s="11" t="s">
        <v>96</v>
      </c>
      <c r="B271" s="16">
        <f>VLOOKUP(Vlookup!B241,'CDCM Forecast Data'!$A$14:$I$271,5,FALSE)</f>
        <v>0.10118214285683957</v>
      </c>
      <c r="C271" s="16">
        <f>VLOOKUP(Vlookup!C241,'CDCM Forecast Data'!$A$14:$I$271,5,FALSE)</f>
        <v>0.66091965296388588</v>
      </c>
      <c r="D271" s="16">
        <f>VLOOKUP(Vlookup!D241,'CDCM Forecast Data'!$A$14:$I$271,5,FALSE)</f>
        <v>0.23789820417927454</v>
      </c>
      <c r="E271" s="10" t="s">
        <v>262</v>
      </c>
      <c r="F271"/>
      <c r="G271"/>
      <c r="H271"/>
      <c r="I271"/>
      <c r="J271"/>
      <c r="K271"/>
    </row>
    <row r="272" spans="1:11" ht="15">
      <c r="A272" s="11" t="s">
        <v>97</v>
      </c>
      <c r="B272" s="16">
        <f>VLOOKUP(Vlookup!B242,'CDCM Forecast Data'!$A$14:$I$271,5,FALSE)</f>
        <v>9.9173095445870232E-2</v>
      </c>
      <c r="C272" s="16">
        <f>VLOOKUP(Vlookup!C242,'CDCM Forecast Data'!$A$14:$I$271,5,FALSE)</f>
        <v>0.66646341204630843</v>
      </c>
      <c r="D272" s="16">
        <f>VLOOKUP(Vlookup!D242,'CDCM Forecast Data'!$A$14:$I$271,5,FALSE)</f>
        <v>0.23436349250782129</v>
      </c>
      <c r="E272" s="10" t="s">
        <v>262</v>
      </c>
      <c r="F272"/>
      <c r="G272"/>
      <c r="H272"/>
      <c r="I272"/>
      <c r="J272"/>
      <c r="K272"/>
    </row>
    <row r="273" spans="1:11" ht="15">
      <c r="A273" s="11" t="s">
        <v>110</v>
      </c>
      <c r="B273" s="16">
        <f>VLOOKUP(Vlookup!B243,'CDCM Forecast Data'!$A$14:$I$271,5,FALSE)</f>
        <v>9.9001646523263931E-2</v>
      </c>
      <c r="C273" s="16">
        <f>VLOOKUP(Vlookup!C243,'CDCM Forecast Data'!$A$14:$I$271,5,FALSE)</f>
        <v>0.69464097956994497</v>
      </c>
      <c r="D273" s="16">
        <f>VLOOKUP(Vlookup!D243,'CDCM Forecast Data'!$A$14:$I$271,5,FALSE)</f>
        <v>0.2063573739067911</v>
      </c>
      <c r="E273" s="10"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11" t="s">
        <v>93</v>
      </c>
      <c r="B278" s="16">
        <f>VLOOKUP(Vlookup!B251,'CDCM Forecast Data'!$A$14:$I$271,9,FALSE)</f>
        <v>0</v>
      </c>
      <c r="C278" s="16">
        <f>VLOOKUP(Vlookup!C251,'CDCM Forecast Data'!$A$14:$I$271,9,FALSE)</f>
        <v>3.4830602664601619E-2</v>
      </c>
      <c r="D278" s="16">
        <f>VLOOKUP(Vlookup!D251,'CDCM Forecast Data'!$A$14:$I$271,9,FALSE)</f>
        <v>0.96516939733539842</v>
      </c>
      <c r="E278" s="10" t="s">
        <v>262</v>
      </c>
      <c r="F278"/>
      <c r="G278"/>
      <c r="H278"/>
      <c r="I278"/>
      <c r="J278"/>
      <c r="K278"/>
    </row>
    <row r="279" spans="1:11" ht="15">
      <c r="A279" s="11" t="s">
        <v>95</v>
      </c>
      <c r="B279" s="16">
        <f>VLOOKUP(Vlookup!B252,'CDCM Forecast Data'!$A$14:$I$271,9,FALSE)</f>
        <v>1.6556870442601376E-8</v>
      </c>
      <c r="C279" s="16">
        <f>VLOOKUP(Vlookup!C252,'CDCM Forecast Data'!$A$14:$I$271,9,FALSE)</f>
        <v>5.869529563813064E-2</v>
      </c>
      <c r="D279" s="16">
        <f>VLOOKUP(Vlookup!D252,'CDCM Forecast Data'!$A$14:$I$271,9,FALSE)</f>
        <v>0.94130468780499887</v>
      </c>
      <c r="E279" s="10" t="s">
        <v>262</v>
      </c>
      <c r="F279"/>
      <c r="G279"/>
      <c r="H279"/>
      <c r="I279"/>
      <c r="J279"/>
      <c r="K279"/>
    </row>
    <row r="280" spans="1:11" ht="15">
      <c r="A280" s="11" t="s">
        <v>96</v>
      </c>
      <c r="B280" s="16">
        <f>VLOOKUP(Vlookup!B253,'CDCM Forecast Data'!$A$14:$I$271,9,FALSE)</f>
        <v>0</v>
      </c>
      <c r="C280" s="16">
        <f>VLOOKUP(Vlookup!C253,'CDCM Forecast Data'!$A$14:$I$271,9,FALSE)</f>
        <v>5.1301871668323713E-3</v>
      </c>
      <c r="D280" s="16">
        <f>VLOOKUP(Vlookup!D253,'CDCM Forecast Data'!$A$14:$I$271,9,FALSE)</f>
        <v>0.99486981283316778</v>
      </c>
      <c r="E280" s="10" t="s">
        <v>262</v>
      </c>
      <c r="F280"/>
      <c r="G280"/>
      <c r="H280"/>
      <c r="I280"/>
      <c r="J280"/>
      <c r="K280"/>
    </row>
    <row r="281" spans="1:11" ht="15">
      <c r="A281" s="11" t="s">
        <v>97</v>
      </c>
      <c r="B281" s="16">
        <f>VLOOKUP(Vlookup!B254,'CDCM Forecast Data'!$A$14:$I$271,9,FALSE)</f>
        <v>0</v>
      </c>
      <c r="C281" s="16">
        <f>VLOOKUP(Vlookup!C254,'CDCM Forecast Data'!$A$14:$I$271,9,FALSE)</f>
        <v>3.213521583597959E-3</v>
      </c>
      <c r="D281" s="16">
        <f>VLOOKUP(Vlookup!D254,'CDCM Forecast Data'!$A$14:$I$271,9,FALSE)</f>
        <v>0.99678647841640211</v>
      </c>
      <c r="E281" s="10" t="s">
        <v>262</v>
      </c>
      <c r="F281"/>
      <c r="G281"/>
      <c r="H281"/>
      <c r="I281"/>
      <c r="J281"/>
      <c r="K281"/>
    </row>
    <row r="282" spans="1:11" ht="15">
      <c r="A282" s="11" t="s">
        <v>110</v>
      </c>
      <c r="B282" s="16">
        <f>VLOOKUP(Vlookup!B255,'CDCM Forecast Data'!$A$14:$I$271,9,FALSE)</f>
        <v>0</v>
      </c>
      <c r="C282" s="16">
        <f>VLOOKUP(Vlookup!C255,'CDCM Forecast Data'!$A$14:$I$271,9,FALSE)</f>
        <v>4.2256521599561099E-3</v>
      </c>
      <c r="D282" s="16">
        <f>VLOOKUP(Vlookup!D255,'CDCM Forecast Data'!$A$14:$I$271,9,FALSE)</f>
        <v>0.99577434784004382</v>
      </c>
      <c r="E282" s="10"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11" t="s">
        <v>131</v>
      </c>
      <c r="B287" s="16">
        <f>VLOOKUP(Vlookup!B260,'CDCM Forecast Data'!$A$14:$I$271,9,FALSE)</f>
        <v>2.2070015220700151E-2</v>
      </c>
      <c r="C287" s="16">
        <f>VLOOKUP(Vlookup!C260,'CDCM Forecast Data'!$A$14:$I$271,9,FALSE)</f>
        <v>0.48085996955859972</v>
      </c>
      <c r="D287" s="16">
        <f>VLOOKUP(Vlookup!D260,'CDCM Forecast Data'!$A$14:$I$271,9,FALSE)</f>
        <v>0.49707001522070016</v>
      </c>
      <c r="E287" s="10" t="s">
        <v>262</v>
      </c>
      <c r="F287"/>
      <c r="G287"/>
      <c r="H287"/>
      <c r="I287"/>
      <c r="J287"/>
      <c r="K287"/>
    </row>
    <row r="288" spans="1:11" ht="15">
      <c r="A288" s="11" t="s">
        <v>132</v>
      </c>
      <c r="B288" s="16">
        <f>VLOOKUP(Vlookup!B261,'CDCM Forecast Data'!$A$14:$I$271,9,FALSE)</f>
        <v>4.3296502490334364E-2</v>
      </c>
      <c r="C288" s="16">
        <f>VLOOKUP(Vlookup!C261,'CDCM Forecast Data'!$A$14:$I$271,9,FALSE)</f>
        <v>0.19352712515009221</v>
      </c>
      <c r="D288" s="16">
        <f>VLOOKUP(Vlookup!D261,'CDCM Forecast Data'!$A$14:$I$271,9,FALSE)</f>
        <v>0.76317637235957336</v>
      </c>
      <c r="E288" s="10" t="s">
        <v>262</v>
      </c>
      <c r="F288"/>
      <c r="G288"/>
      <c r="H288"/>
      <c r="I288"/>
      <c r="J288"/>
      <c r="K288"/>
    </row>
    <row r="289" spans="1:11" ht="15">
      <c r="A289" s="11" t="s">
        <v>133</v>
      </c>
      <c r="B289" s="16">
        <f>VLOOKUP(Vlookup!B262,'CDCM Forecast Data'!$A$14:$I$271,9,FALSE)</f>
        <v>7.5341202673786759E-2</v>
      </c>
      <c r="C289" s="16">
        <f>VLOOKUP(Vlookup!C262,'CDCM Forecast Data'!$A$14:$I$271,9,FALSE)</f>
        <v>0.32694556247045986</v>
      </c>
      <c r="D289" s="16">
        <f>VLOOKUP(Vlookup!D262,'CDCM Forecast Data'!$A$14:$I$271,9,FALSE)</f>
        <v>0.59771323485575345</v>
      </c>
      <c r="E289" s="10" t="s">
        <v>262</v>
      </c>
      <c r="F289"/>
      <c r="G289"/>
      <c r="H289"/>
      <c r="I289"/>
      <c r="J289"/>
      <c r="K289"/>
    </row>
    <row r="290" spans="1:11" ht="15">
      <c r="A290" s="11" t="s">
        <v>134</v>
      </c>
      <c r="B290" s="16">
        <f>VLOOKUP(Vlookup!B263,'CDCM Forecast Data'!$A$14:$I$271,9,FALSE)</f>
        <v>3.3590963197314191E-3</v>
      </c>
      <c r="C290" s="16">
        <f>VLOOKUP(Vlookup!C263,'CDCM Forecast Data'!$A$14:$I$271,9,FALSE)</f>
        <v>0.7385027664723034</v>
      </c>
      <c r="D290" s="16">
        <f>VLOOKUP(Vlookup!D263,'CDCM Forecast Data'!$A$14:$I$271,9,FALSE)</f>
        <v>0.25813813720796519</v>
      </c>
      <c r="E290" s="10"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11" t="s">
        <v>243</v>
      </c>
      <c r="B297" s="19">
        <f>VLOOKUP(Vlookup!B270,'CDCM Forecast Data'!$A$14:$I$271,9,FALSE)</f>
        <v>190</v>
      </c>
      <c r="C297" s="19">
        <f>VLOOKUP(Vlookup!C270,'CDCM Forecast Data'!$A$14:$I$271,9,FALSE)</f>
        <v>4233</v>
      </c>
      <c r="D297" s="19">
        <f>VLOOKUP(Vlookup!D270,'CDCM Forecast Data'!$A$14:$I$271,9,FALSE)</f>
        <v>4361</v>
      </c>
      <c r="E297" s="10"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11" t="s">
        <v>243</v>
      </c>
      <c r="B304" s="19">
        <f>VLOOKUP(Vlookup!B277,'CDCM Forecast Data'!$A$14:$I$271,9,FALSE)</f>
        <v>655</v>
      </c>
      <c r="C304" s="19">
        <f>VLOOKUP(Vlookup!C277,'CDCM Forecast Data'!$A$14:$I$271,9,FALSE)</f>
        <v>3768</v>
      </c>
      <c r="D304" s="19">
        <f>VLOOKUP(Vlookup!D277,'CDCM Forecast Data'!$A$14:$I$271,9,FALSE)</f>
        <v>4361</v>
      </c>
      <c r="E304" s="10"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20"/>
      <c r="C309" s="20"/>
      <c r="D309" s="20"/>
      <c r="E309"/>
      <c r="F309"/>
      <c r="G309"/>
      <c r="H309"/>
      <c r="I309"/>
      <c r="J309"/>
      <c r="K309"/>
    </row>
    <row r="310" spans="1:11" ht="15">
      <c r="A310"/>
      <c r="B310" s="3" t="s">
        <v>233</v>
      </c>
      <c r="C310" s="3" t="s">
        <v>234</v>
      </c>
      <c r="D310" s="3" t="s">
        <v>235</v>
      </c>
      <c r="E310" s="3" t="s">
        <v>238</v>
      </c>
      <c r="F310"/>
      <c r="G310"/>
      <c r="H310"/>
      <c r="I310"/>
      <c r="J310"/>
      <c r="K310"/>
    </row>
    <row r="311" spans="1:11" ht="15">
      <c r="A311" s="11" t="s">
        <v>60</v>
      </c>
      <c r="B311" s="16">
        <f>VLOOKUP(Vlookup!B283,'CDCM Forecast Data'!$A$14:$I$271,9,FALSE)</f>
        <v>0.62879119434947672</v>
      </c>
      <c r="C311" s="16">
        <f>VLOOKUP(Vlookup!C283,'CDCM Forecast Data'!$A$14:$I$271,9,FALSE)</f>
        <v>0.36482447333707807</v>
      </c>
      <c r="D311" s="16">
        <f>VLOOKUP(Vlookup!D283,'CDCM Forecast Data'!$A$14:$I$271,9,FALSE)</f>
        <v>6.3843323134452623E-3</v>
      </c>
      <c r="E311" s="16">
        <f>VLOOKUP(Vlookup!E283,'CDCM Forecast Data'!$A$14:$I$271,9,FALSE)</f>
        <v>0.39570245808243315</v>
      </c>
      <c r="F311" s="10" t="s">
        <v>262</v>
      </c>
      <c r="G311"/>
      <c r="H311"/>
      <c r="I311"/>
      <c r="J311"/>
      <c r="K311"/>
    </row>
    <row r="312" spans="1:11" ht="15">
      <c r="A312" s="11" t="s">
        <v>61</v>
      </c>
      <c r="B312" s="16">
        <f>VLOOKUP(Vlookup!B284,'CDCM Forecast Data'!$A$14:$I$271,9,FALSE)</f>
        <v>0.62174924523091402</v>
      </c>
      <c r="C312" s="16">
        <f>VLOOKUP(Vlookup!C284,'CDCM Forecast Data'!$A$14:$I$271,9,FALSE)</f>
        <v>0.3027754828809584</v>
      </c>
      <c r="D312" s="16">
        <f>VLOOKUP(Vlookup!D284,'CDCM Forecast Data'!$A$14:$I$271,9,FALSE)</f>
        <v>7.547527188812754E-2</v>
      </c>
      <c r="E312" s="16">
        <f>VLOOKUP(Vlookup!E284,'CDCM Forecast Data'!$A$14:$I$271,9,FALSE)</f>
        <v>0.56604499762027283</v>
      </c>
      <c r="F312" s="10" t="s">
        <v>262</v>
      </c>
      <c r="G312"/>
      <c r="H312"/>
      <c r="I312"/>
      <c r="J312"/>
      <c r="K312"/>
    </row>
    <row r="313" spans="1:11" ht="15">
      <c r="A313" s="11" t="s">
        <v>62</v>
      </c>
      <c r="B313" s="16">
        <f>VLOOKUP(Vlookup!B285,'CDCM Forecast Data'!$A$14:$I$271,9,FALSE)</f>
        <v>0.62174924523091402</v>
      </c>
      <c r="C313" s="16">
        <f>VLOOKUP(Vlookup!C285,'CDCM Forecast Data'!$A$14:$I$271,9,FALSE)</f>
        <v>0.3027754828809584</v>
      </c>
      <c r="D313" s="16">
        <f>VLOOKUP(Vlookup!D285,'CDCM Forecast Data'!$A$14:$I$271,9,FALSE)</f>
        <v>7.547527188812754E-2</v>
      </c>
      <c r="E313" s="16">
        <f>VLOOKUP(Vlookup!E285,'CDCM Forecast Data'!$A$14:$I$271,9,FALSE)</f>
        <v>0.56604499762027283</v>
      </c>
      <c r="F313" s="10" t="s">
        <v>262</v>
      </c>
      <c r="G313"/>
      <c r="H313"/>
      <c r="I313"/>
      <c r="J313"/>
      <c r="K313"/>
    </row>
    <row r="314" spans="1:11" ht="15">
      <c r="A314" s="11" t="s">
        <v>63</v>
      </c>
      <c r="B314" s="16">
        <f>VLOOKUP(Vlookup!B286,'CDCM Forecast Data'!$A$14:$I$271,9,FALSE)</f>
        <v>0.57235676252107026</v>
      </c>
      <c r="C314" s="16">
        <f>VLOOKUP(Vlookup!C286,'CDCM Forecast Data'!$A$14:$I$271,9,FALSE)</f>
        <v>0.37197918727209278</v>
      </c>
      <c r="D314" s="16">
        <f>VLOOKUP(Vlookup!D286,'CDCM Forecast Data'!$A$14:$I$271,9,FALSE)</f>
        <v>5.5664050206836936E-2</v>
      </c>
      <c r="E314" s="16">
        <f>VLOOKUP(Vlookup!E286,'CDCM Forecast Data'!$A$14:$I$271,9,FALSE)</f>
        <v>0.52685467635274164</v>
      </c>
      <c r="F314" s="10" t="s">
        <v>262</v>
      </c>
      <c r="G314"/>
      <c r="H314"/>
      <c r="I314"/>
      <c r="J314"/>
      <c r="K314"/>
    </row>
    <row r="315" spans="1:11" ht="15">
      <c r="A315" s="11" t="s">
        <v>64</v>
      </c>
      <c r="B315" s="16">
        <f>VLOOKUP(Vlookup!B287,'CDCM Forecast Data'!$A$14:$I$271,9,FALSE)</f>
        <v>0.57235676252107026</v>
      </c>
      <c r="C315" s="16">
        <f>VLOOKUP(Vlookup!C287,'CDCM Forecast Data'!$A$14:$I$271,9,FALSE)</f>
        <v>0.37197918727209278</v>
      </c>
      <c r="D315" s="16">
        <f>VLOOKUP(Vlookup!D287,'CDCM Forecast Data'!$A$14:$I$271,9,FALSE)</f>
        <v>5.5664050206836936E-2</v>
      </c>
      <c r="E315" s="16">
        <f>VLOOKUP(Vlookup!E287,'CDCM Forecast Data'!$A$14:$I$271,9,FALSE)</f>
        <v>0.52685467635274164</v>
      </c>
      <c r="F315" s="10" t="s">
        <v>262</v>
      </c>
      <c r="G315"/>
      <c r="H315"/>
      <c r="I315"/>
      <c r="J315"/>
      <c r="K315"/>
    </row>
    <row r="316" spans="1:11" ht="15">
      <c r="A316" s="11" t="s">
        <v>69</v>
      </c>
      <c r="B316" s="16">
        <f>VLOOKUP(Vlookup!B288,'CDCM Forecast Data'!$A$14:$I$271,9,FALSE)</f>
        <v>0.62174924523091402</v>
      </c>
      <c r="C316" s="16">
        <f>VLOOKUP(Vlookup!C288,'CDCM Forecast Data'!$A$14:$I$271,9,FALSE)</f>
        <v>0.3027754828809584</v>
      </c>
      <c r="D316" s="16">
        <f>VLOOKUP(Vlookup!D288,'CDCM Forecast Data'!$A$14:$I$271,9,FALSE)</f>
        <v>7.547527188812754E-2</v>
      </c>
      <c r="E316" s="16">
        <f>VLOOKUP(Vlookup!E288,'CDCM Forecast Data'!$A$14:$I$271,9,FALSE)</f>
        <v>0.56604499762027283</v>
      </c>
      <c r="F316" s="10" t="s">
        <v>262</v>
      </c>
      <c r="G316"/>
      <c r="H316"/>
      <c r="I316"/>
      <c r="J316"/>
      <c r="K316"/>
    </row>
    <row r="317" spans="1:11" ht="15">
      <c r="A317" s="11" t="s">
        <v>65</v>
      </c>
      <c r="B317" s="16">
        <f>VLOOKUP(Vlookup!B289,'CDCM Forecast Data'!$A$14:$I$271,9,FALSE)</f>
        <v>0.57235676252107026</v>
      </c>
      <c r="C317" s="16">
        <f>VLOOKUP(Vlookup!C289,'CDCM Forecast Data'!$A$14:$I$271,9,FALSE)</f>
        <v>0.37197918727209278</v>
      </c>
      <c r="D317" s="16">
        <f>VLOOKUP(Vlookup!D289,'CDCM Forecast Data'!$A$14:$I$271,9,FALSE)</f>
        <v>5.5664050206836936E-2</v>
      </c>
      <c r="E317" s="16">
        <f>VLOOKUP(Vlookup!E289,'CDCM Forecast Data'!$A$14:$I$271,9,FALSE)</f>
        <v>0.52685467635274164</v>
      </c>
      <c r="F317" s="10" t="s">
        <v>262</v>
      </c>
      <c r="G317"/>
      <c r="H317"/>
      <c r="I317"/>
      <c r="J317"/>
      <c r="K317"/>
    </row>
    <row r="318" spans="1:11" ht="15">
      <c r="A318" s="11" t="s">
        <v>66</v>
      </c>
      <c r="B318" s="16">
        <f>VLOOKUP(Vlookup!B290,'CDCM Forecast Data'!$A$14:$I$271,9,FALSE)</f>
        <v>0.57235676252107026</v>
      </c>
      <c r="C318" s="16">
        <f>VLOOKUP(Vlookup!C290,'CDCM Forecast Data'!$A$14:$I$271,9,FALSE)</f>
        <v>0.37197918727209278</v>
      </c>
      <c r="D318" s="16">
        <f>VLOOKUP(Vlookup!D290,'CDCM Forecast Data'!$A$14:$I$271,9,FALSE)</f>
        <v>5.5664050206836936E-2</v>
      </c>
      <c r="E318" s="16">
        <f>VLOOKUP(Vlookup!E290,'CDCM Forecast Data'!$A$14:$I$271,9,FALSE)</f>
        <v>0.52685467635274164</v>
      </c>
      <c r="F318" s="10" t="s">
        <v>262</v>
      </c>
      <c r="G318"/>
      <c r="H318"/>
      <c r="I318"/>
      <c r="J318"/>
      <c r="K318"/>
    </row>
    <row r="319" spans="1:11" ht="15">
      <c r="A319" s="11" t="s">
        <v>67</v>
      </c>
      <c r="B319" s="16">
        <f>VLOOKUP(Vlookup!B291,'CDCM Forecast Data'!$A$14:$I$271,9,FALSE)</f>
        <v>0.57235676252107026</v>
      </c>
      <c r="C319" s="16">
        <f>VLOOKUP(Vlookup!C291,'CDCM Forecast Data'!$A$14:$I$271,9,FALSE)</f>
        <v>0.37197918727209278</v>
      </c>
      <c r="D319" s="16">
        <f>VLOOKUP(Vlookup!D291,'CDCM Forecast Data'!$A$14:$I$271,9,FALSE)</f>
        <v>5.5664050206836936E-2</v>
      </c>
      <c r="E319" s="16">
        <f>VLOOKUP(Vlookup!E291,'CDCM Forecast Data'!$A$14:$I$271,9,FALSE)</f>
        <v>0.52685467635274164</v>
      </c>
      <c r="F319" s="10" t="s">
        <v>262</v>
      </c>
      <c r="G319"/>
      <c r="H319"/>
      <c r="I319"/>
      <c r="J319"/>
      <c r="K319"/>
    </row>
    <row r="320" spans="1:11" ht="15">
      <c r="A320"/>
      <c r="B320"/>
      <c r="C320"/>
      <c r="D320"/>
      <c r="E320"/>
      <c r="F320"/>
      <c r="G320"/>
      <c r="H320"/>
      <c r="I320"/>
      <c r="J320"/>
      <c r="K320"/>
    </row>
    <row r="321" spans="1:11" ht="19.5">
      <c r="A321" s="1" t="s">
        <v>1634</v>
      </c>
      <c r="B321"/>
      <c r="C321"/>
      <c r="D321"/>
      <c r="E321"/>
      <c r="F321"/>
      <c r="G321"/>
      <c r="H321"/>
      <c r="I321"/>
      <c r="J321"/>
      <c r="K321"/>
    </row>
    <row r="322" spans="1:11" ht="15">
      <c r="A322" s="2" t="s">
        <v>1633</v>
      </c>
      <c r="B322"/>
      <c r="C322"/>
      <c r="D322"/>
      <c r="E322"/>
      <c r="F322"/>
      <c r="G322"/>
      <c r="H322"/>
      <c r="I322"/>
      <c r="J322"/>
      <c r="K322"/>
    </row>
    <row r="323" spans="1:11" ht="15">
      <c r="A323"/>
      <c r="B323"/>
      <c r="C323"/>
      <c r="D323"/>
      <c r="E323"/>
      <c r="F323"/>
      <c r="G323"/>
      <c r="H323"/>
      <c r="I323"/>
      <c r="J323"/>
      <c r="K323"/>
    </row>
    <row r="324" spans="1:11" ht="30">
      <c r="A324"/>
      <c r="B324" s="3" t="s">
        <v>1632</v>
      </c>
      <c r="C324"/>
      <c r="D324"/>
      <c r="E324"/>
      <c r="F324"/>
      <c r="G324"/>
      <c r="H324"/>
      <c r="I324"/>
      <c r="J324"/>
      <c r="K324"/>
    </row>
    <row r="325" spans="1:11" ht="15">
      <c r="A325" s="11" t="s">
        <v>1632</v>
      </c>
      <c r="B325" s="14">
        <f>1000000*'Table 1'!J47</f>
        <v>240272522.52353016</v>
      </c>
      <c r="C325" s="10"/>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11" t="s">
        <v>251</v>
      </c>
      <c r="B332" s="4">
        <f>VLOOKUP(Vlookup!B298,'CDCM Forecast Data'!$A$14:$I$271,9,FALSE)</f>
        <v>0.27489787150128192</v>
      </c>
      <c r="C332" s="4">
        <f>VLOOKUP(Vlookup!C298,'CDCM Forecast Data'!$A$14:$I$271,9,FALSE)</f>
        <v>0.27489787150128192</v>
      </c>
      <c r="D332" s="4">
        <f>VLOOKUP(Vlookup!D298,'CDCM Forecast Data'!$A$14:$I$271,9,FALSE)</f>
        <v>0.27489787150128192</v>
      </c>
      <c r="E332" s="4">
        <f>VLOOKUP(Vlookup!E298,'CDCM Forecast Data'!$A$14:$I$271,9,FALSE)</f>
        <v>0.27489787150128192</v>
      </c>
      <c r="F332" s="4">
        <f>VLOOKUP(Vlookup!F298,'CDCM Forecast Data'!$A$14:$I$271,9,FALSE)</f>
        <v>0.27489787150128192</v>
      </c>
      <c r="G332" s="4">
        <f>VLOOKUP(Vlookup!G298,'CDCM Forecast Data'!$A$14:$I$271,9,FALSE)</f>
        <v>0.27489787150128192</v>
      </c>
      <c r="H332" s="4">
        <f>VLOOKUP(Vlookup!H298,'CDCM Forecast Data'!$A$14:$I$271,9,FALSE)</f>
        <v>0.27489787150128192</v>
      </c>
      <c r="I332" s="4">
        <f>VLOOKUP(Vlookup!I298,'CDCM Forecast Data'!$A$14:$I$271,9,FALSE)</f>
        <v>0.27489787150128192</v>
      </c>
      <c r="J332" s="4">
        <f>VLOOKUP(Vlookup!J298,'CDCM Forecast Data'!$A$14:$I$271,9,FALSE)</f>
        <v>0.27489787150128192</v>
      </c>
      <c r="K332" s="10"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indexed="47"/>
  </sheetPr>
  <dimension ref="B2:M407"/>
  <sheetViews>
    <sheetView showGridLines="0" view="pageBreakPreview" topLeftCell="D1" workbookViewId="0">
      <selection activeCell="F21" sqref="F21:K90"/>
    </sheetView>
  </sheetViews>
  <sheetFormatPr defaultColWidth="8.85546875" defaultRowHeight="12.75"/>
  <cols>
    <col min="1" max="1" width="8.85546875" style="254"/>
    <col min="2" max="2" width="3.42578125" style="254" customWidth="1"/>
    <col min="3" max="3" width="50.7109375" style="254" customWidth="1"/>
    <col min="4" max="12" width="16.28515625" style="254" customWidth="1"/>
    <col min="13" max="13" width="4.42578125" style="254" customWidth="1"/>
    <col min="14" max="246" width="20.7109375" style="254" customWidth="1"/>
    <col min="247" max="16384" width="8.85546875" style="254"/>
  </cols>
  <sheetData>
    <row r="2" spans="2:13" ht="54.75" customHeight="1">
      <c r="B2" s="270" t="str">
        <f>'CDCM Forecast Data'!E3&amp;" - 5 Year Tariff Summary"</f>
        <v>WPD South Wales - 5 Year Tariff Summary</v>
      </c>
    </row>
    <row r="4" spans="2:13">
      <c r="C4" s="238"/>
      <c r="E4" s="238"/>
      <c r="G4" s="238"/>
      <c r="I4" s="238"/>
    </row>
    <row r="5" spans="2:13" ht="21" customHeight="1">
      <c r="C5" s="255"/>
      <c r="D5" s="256" t="s">
        <v>1542</v>
      </c>
      <c r="F5" s="365" t="s">
        <v>1636</v>
      </c>
      <c r="G5" s="365"/>
      <c r="H5" s="365"/>
      <c r="I5" s="365"/>
      <c r="J5" s="365"/>
    </row>
    <row r="6" spans="2:13" ht="15">
      <c r="C6" s="255" t="s">
        <v>1541</v>
      </c>
      <c r="D6" s="301" t="str">
        <f>+'CDCM Volume Forecasts'!G6</f>
        <v>2015/16</v>
      </c>
      <c r="F6" s="365"/>
      <c r="G6" s="365"/>
      <c r="H6" s="365"/>
      <c r="I6" s="365"/>
      <c r="J6" s="365"/>
    </row>
    <row r="7" spans="2:13" ht="15">
      <c r="C7" s="255" t="s">
        <v>1540</v>
      </c>
      <c r="D7" s="301" t="str">
        <f>+'CDCM Volume Forecasts'!H6</f>
        <v>2016/17</v>
      </c>
      <c r="F7" s="365"/>
      <c r="G7" s="365"/>
      <c r="H7" s="365"/>
      <c r="I7" s="365"/>
      <c r="J7" s="365"/>
    </row>
    <row r="8" spans="2:13" ht="15">
      <c r="C8" s="255" t="s">
        <v>1539</v>
      </c>
      <c r="D8" s="301" t="str">
        <f>+'CDCM Volume Forecasts'!I6</f>
        <v>2017/18</v>
      </c>
      <c r="E8" s="238"/>
      <c r="G8" s="238"/>
      <c r="I8" s="238"/>
    </row>
    <row r="9" spans="2:13" ht="15">
      <c r="C9" s="255" t="s">
        <v>1538</v>
      </c>
      <c r="D9" s="301" t="str">
        <f>+'CDCM Volume Forecasts'!J6</f>
        <v>2018/19</v>
      </c>
      <c r="E9" s="238"/>
      <c r="G9" s="238"/>
      <c r="I9" s="238"/>
    </row>
    <row r="10" spans="2:13" ht="15">
      <c r="C10" s="255" t="s">
        <v>1537</v>
      </c>
      <c r="D10" s="301" t="str">
        <f>+'CDCM Volume Forecasts'!K6</f>
        <v>2019/20</v>
      </c>
      <c r="E10" s="238"/>
      <c r="G10" s="238"/>
      <c r="I10" s="238"/>
    </row>
    <row r="11" spans="2:13">
      <c r="G11" s="241"/>
    </row>
    <row r="12" spans="2:13">
      <c r="G12" s="238"/>
    </row>
    <row r="13" spans="2:13">
      <c r="C13" s="242"/>
    </row>
    <row r="14" spans="2:13">
      <c r="C14" s="243"/>
    </row>
    <row r="15" spans="2:13" ht="13.5" thickBot="1"/>
    <row r="16" spans="2:13">
      <c r="B16" s="257"/>
      <c r="C16" s="258"/>
      <c r="D16" s="259"/>
      <c r="E16" s="259"/>
      <c r="F16" s="259"/>
      <c r="G16" s="259"/>
      <c r="H16" s="259"/>
      <c r="I16" s="259"/>
      <c r="J16" s="259"/>
      <c r="K16" s="259"/>
      <c r="L16" s="259"/>
      <c r="M16" s="260"/>
    </row>
    <row r="17" spans="2:13">
      <c r="B17" s="261"/>
      <c r="C17" s="262" t="str">
        <f>"Tariffs for Charging Year: "&amp; " "&amp;D6&amp;""</f>
        <v>Tariffs for Charging Year:  2015/16</v>
      </c>
      <c r="D17" s="262"/>
      <c r="E17" s="262"/>
      <c r="F17" s="262"/>
      <c r="G17" s="262"/>
      <c r="H17" s="262"/>
      <c r="I17" s="263"/>
      <c r="J17" s="263"/>
      <c r="K17" s="263"/>
      <c r="L17" s="263"/>
      <c r="M17" s="264"/>
    </row>
    <row r="18" spans="2:13">
      <c r="B18" s="261"/>
      <c r="C18" s="247"/>
      <c r="D18" s="263"/>
      <c r="E18" s="263"/>
      <c r="F18" s="263"/>
      <c r="G18" s="263"/>
      <c r="H18" s="263"/>
      <c r="I18" s="263"/>
      <c r="J18" s="263"/>
      <c r="K18" s="263"/>
      <c r="L18" s="263"/>
      <c r="M18" s="264"/>
    </row>
    <row r="19" spans="2:13">
      <c r="B19" s="261"/>
      <c r="C19" s="247"/>
      <c r="D19" s="263"/>
      <c r="E19" s="263"/>
      <c r="F19" s="263"/>
      <c r="G19" s="263"/>
      <c r="H19" s="263"/>
      <c r="I19" s="263"/>
      <c r="J19" s="263"/>
      <c r="K19" s="263"/>
      <c r="L19" s="263"/>
      <c r="M19" s="264"/>
    </row>
    <row r="20" spans="2:13" ht="38.25">
      <c r="B20" s="261"/>
      <c r="C20" s="265"/>
      <c r="D20" s="236" t="s">
        <v>1244</v>
      </c>
      <c r="E20" s="236" t="s">
        <v>1245</v>
      </c>
      <c r="F20" s="236" t="s">
        <v>1164</v>
      </c>
      <c r="G20" s="236" t="s">
        <v>1165</v>
      </c>
      <c r="H20" s="236" t="s">
        <v>1166</v>
      </c>
      <c r="I20" s="236" t="s">
        <v>1167</v>
      </c>
      <c r="J20" s="236" t="s">
        <v>1168</v>
      </c>
      <c r="K20" s="236" t="s">
        <v>791</v>
      </c>
      <c r="L20" s="236" t="s">
        <v>1246</v>
      </c>
      <c r="M20" s="264"/>
    </row>
    <row r="21" spans="2:13" ht="27" customHeight="1">
      <c r="B21" s="261"/>
      <c r="C21" s="252" t="s">
        <v>92</v>
      </c>
      <c r="D21" s="266"/>
      <c r="E21" s="266">
        <v>1</v>
      </c>
      <c r="F21" s="275">
        <v>2.6230000000000002</v>
      </c>
      <c r="G21" s="275">
        <v>0</v>
      </c>
      <c r="H21" s="275">
        <v>0</v>
      </c>
      <c r="I21" s="276">
        <v>3.97</v>
      </c>
      <c r="J21" s="276">
        <v>0</v>
      </c>
      <c r="K21" s="275">
        <v>0</v>
      </c>
      <c r="L21" s="266"/>
      <c r="M21" s="264"/>
    </row>
    <row r="22" spans="2:13" ht="27" customHeight="1">
      <c r="B22" s="261"/>
      <c r="C22" s="252" t="s">
        <v>93</v>
      </c>
      <c r="D22" s="266"/>
      <c r="E22" s="266">
        <v>2</v>
      </c>
      <c r="F22" s="275">
        <v>2.8380000000000001</v>
      </c>
      <c r="G22" s="275">
        <v>0.185</v>
      </c>
      <c r="H22" s="275">
        <v>0</v>
      </c>
      <c r="I22" s="276">
        <v>3.97</v>
      </c>
      <c r="J22" s="276">
        <v>0</v>
      </c>
      <c r="K22" s="275">
        <v>0</v>
      </c>
      <c r="L22" s="266"/>
      <c r="M22" s="264"/>
    </row>
    <row r="23" spans="2:13" ht="27" customHeight="1">
      <c r="B23" s="261"/>
      <c r="C23" s="252" t="s">
        <v>129</v>
      </c>
      <c r="D23" s="266"/>
      <c r="E23" s="266">
        <v>2</v>
      </c>
      <c r="F23" s="275">
        <v>0.27300000000000002</v>
      </c>
      <c r="G23" s="275">
        <v>0</v>
      </c>
      <c r="H23" s="275">
        <v>0</v>
      </c>
      <c r="I23" s="276">
        <v>0</v>
      </c>
      <c r="J23" s="276">
        <v>0</v>
      </c>
      <c r="K23" s="275">
        <v>0</v>
      </c>
      <c r="L23" s="266"/>
      <c r="M23" s="264"/>
    </row>
    <row r="24" spans="2:13" ht="27" customHeight="1">
      <c r="B24" s="261"/>
      <c r="C24" s="252" t="s">
        <v>94</v>
      </c>
      <c r="D24" s="266"/>
      <c r="E24" s="266">
        <v>3</v>
      </c>
      <c r="F24" s="275">
        <v>2.0630000000000002</v>
      </c>
      <c r="G24" s="275">
        <v>0</v>
      </c>
      <c r="H24" s="275">
        <v>0</v>
      </c>
      <c r="I24" s="276">
        <v>6.91</v>
      </c>
      <c r="J24" s="276">
        <v>0</v>
      </c>
      <c r="K24" s="275">
        <v>0</v>
      </c>
      <c r="L24" s="266"/>
      <c r="M24" s="264"/>
    </row>
    <row r="25" spans="2:13" ht="27" customHeight="1">
      <c r="B25" s="261"/>
      <c r="C25" s="252" t="s">
        <v>95</v>
      </c>
      <c r="D25" s="266"/>
      <c r="E25" s="266">
        <v>4</v>
      </c>
      <c r="F25" s="275">
        <v>2.6539999999999999</v>
      </c>
      <c r="G25" s="275">
        <v>0.23699999999999999</v>
      </c>
      <c r="H25" s="275">
        <v>0</v>
      </c>
      <c r="I25" s="276">
        <v>6.91</v>
      </c>
      <c r="J25" s="276">
        <v>0</v>
      </c>
      <c r="K25" s="275">
        <v>0</v>
      </c>
      <c r="L25" s="266"/>
      <c r="M25" s="264"/>
    </row>
    <row r="26" spans="2:13" ht="27" customHeight="1">
      <c r="B26" s="261"/>
      <c r="C26" s="252" t="s">
        <v>130</v>
      </c>
      <c r="D26" s="266"/>
      <c r="E26" s="266">
        <v>4</v>
      </c>
      <c r="F26" s="275">
        <v>0.28199999999999997</v>
      </c>
      <c r="G26" s="275">
        <v>0</v>
      </c>
      <c r="H26" s="275">
        <v>0</v>
      </c>
      <c r="I26" s="276">
        <v>0</v>
      </c>
      <c r="J26" s="276">
        <v>0</v>
      </c>
      <c r="K26" s="275">
        <v>0</v>
      </c>
      <c r="L26" s="266"/>
      <c r="M26" s="264"/>
    </row>
    <row r="27" spans="2:13" ht="27" customHeight="1">
      <c r="B27" s="261"/>
      <c r="C27" s="252" t="s">
        <v>96</v>
      </c>
      <c r="D27" s="266"/>
      <c r="E27" s="266" t="s">
        <v>1247</v>
      </c>
      <c r="F27" s="275">
        <v>2.4750000000000001</v>
      </c>
      <c r="G27" s="275">
        <v>0.14499999999999999</v>
      </c>
      <c r="H27" s="275">
        <v>0</v>
      </c>
      <c r="I27" s="276">
        <v>40.89</v>
      </c>
      <c r="J27" s="276">
        <v>0</v>
      </c>
      <c r="K27" s="275">
        <v>0</v>
      </c>
      <c r="L27" s="266"/>
      <c r="M27" s="264"/>
    </row>
    <row r="28" spans="2:13" ht="27" customHeight="1">
      <c r="B28" s="261"/>
      <c r="C28" s="252" t="s">
        <v>97</v>
      </c>
      <c r="D28" s="266"/>
      <c r="E28" s="266" t="s">
        <v>1247</v>
      </c>
      <c r="F28" s="275">
        <v>2.3660000000000001</v>
      </c>
      <c r="G28" s="275">
        <v>0.13500000000000001</v>
      </c>
      <c r="H28" s="275">
        <v>0</v>
      </c>
      <c r="I28" s="276">
        <v>28.51</v>
      </c>
      <c r="J28" s="276">
        <v>0</v>
      </c>
      <c r="K28" s="275">
        <v>0</v>
      </c>
      <c r="L28" s="266"/>
      <c r="M28" s="264"/>
    </row>
    <row r="29" spans="2:13" ht="27" customHeight="1">
      <c r="B29" s="261"/>
      <c r="C29" s="252" t="s">
        <v>110</v>
      </c>
      <c r="D29" s="266"/>
      <c r="E29" s="266" t="s">
        <v>1247</v>
      </c>
      <c r="F29" s="275">
        <v>1.679</v>
      </c>
      <c r="G29" s="275">
        <v>0.08</v>
      </c>
      <c r="H29" s="275">
        <v>0</v>
      </c>
      <c r="I29" s="276">
        <v>150.41</v>
      </c>
      <c r="J29" s="276">
        <v>0</v>
      </c>
      <c r="K29" s="275">
        <v>0</v>
      </c>
      <c r="L29" s="266"/>
      <c r="M29" s="264"/>
    </row>
    <row r="30" spans="2:13" ht="27" customHeight="1">
      <c r="B30" s="261"/>
      <c r="C30" s="252" t="s">
        <v>1647</v>
      </c>
      <c r="D30" s="266"/>
      <c r="E30" s="266"/>
      <c r="F30" s="275">
        <v>15.657999999999999</v>
      </c>
      <c r="G30" s="275">
        <v>1.5620000000000001</v>
      </c>
      <c r="H30" s="275">
        <v>0.15</v>
      </c>
      <c r="I30" s="276">
        <v>3.97</v>
      </c>
      <c r="J30" s="276">
        <v>0</v>
      </c>
      <c r="K30" s="275">
        <v>0</v>
      </c>
      <c r="L30" s="266"/>
      <c r="M30" s="264"/>
    </row>
    <row r="31" spans="2:13" ht="27" customHeight="1">
      <c r="B31" s="261"/>
      <c r="C31" s="252" t="s">
        <v>1646</v>
      </c>
      <c r="D31" s="266"/>
      <c r="E31" s="266"/>
      <c r="F31" s="275">
        <v>15.659000000000001</v>
      </c>
      <c r="G31" s="275">
        <v>1.56</v>
      </c>
      <c r="H31" s="275">
        <v>0.15</v>
      </c>
      <c r="I31" s="276">
        <v>6.91</v>
      </c>
      <c r="J31" s="276">
        <v>0</v>
      </c>
      <c r="K31" s="275">
        <v>0</v>
      </c>
      <c r="L31" s="266"/>
      <c r="M31" s="264"/>
    </row>
    <row r="32" spans="2:13" ht="27" customHeight="1">
      <c r="B32" s="261"/>
      <c r="C32" s="252" t="s">
        <v>98</v>
      </c>
      <c r="D32" s="266"/>
      <c r="E32" s="266"/>
      <c r="F32" s="275">
        <v>12.048999999999999</v>
      </c>
      <c r="G32" s="275">
        <v>1.1910000000000001</v>
      </c>
      <c r="H32" s="275">
        <v>0.11</v>
      </c>
      <c r="I32" s="276">
        <v>9.9700000000000006</v>
      </c>
      <c r="J32" s="276">
        <v>2.78</v>
      </c>
      <c r="K32" s="275">
        <v>0.42699999999999999</v>
      </c>
      <c r="L32" s="266"/>
      <c r="M32" s="264"/>
    </row>
    <row r="33" spans="2:13" ht="27" customHeight="1">
      <c r="B33" s="261"/>
      <c r="C33" s="252" t="s">
        <v>99</v>
      </c>
      <c r="D33" s="266"/>
      <c r="E33" s="266"/>
      <c r="F33" s="275">
        <v>9.4309999999999992</v>
      </c>
      <c r="G33" s="275">
        <v>0.91500000000000004</v>
      </c>
      <c r="H33" s="275">
        <v>7.9000000000000001E-2</v>
      </c>
      <c r="I33" s="276">
        <v>7.54</v>
      </c>
      <c r="J33" s="276">
        <v>3.27</v>
      </c>
      <c r="K33" s="275">
        <v>0.36599999999999999</v>
      </c>
      <c r="L33" s="266"/>
      <c r="M33" s="264"/>
    </row>
    <row r="34" spans="2:13" ht="27" customHeight="1">
      <c r="B34" s="261"/>
      <c r="C34" s="252" t="s">
        <v>111</v>
      </c>
      <c r="D34" s="266"/>
      <c r="E34" s="266"/>
      <c r="F34" s="275">
        <v>8.67</v>
      </c>
      <c r="G34" s="275">
        <v>0.83499999999999996</v>
      </c>
      <c r="H34" s="275">
        <v>6.6000000000000003E-2</v>
      </c>
      <c r="I34" s="276">
        <v>75.819999999999993</v>
      </c>
      <c r="J34" s="276">
        <v>3.3</v>
      </c>
      <c r="K34" s="275">
        <v>0.28599999999999998</v>
      </c>
      <c r="L34" s="266"/>
      <c r="M34" s="264"/>
    </row>
    <row r="35" spans="2:13" ht="27" customHeight="1">
      <c r="B35" s="261"/>
      <c r="C35" s="252" t="s">
        <v>131</v>
      </c>
      <c r="D35" s="266"/>
      <c r="E35" s="266">
        <v>8</v>
      </c>
      <c r="F35" s="275">
        <v>2.2250000000000001</v>
      </c>
      <c r="G35" s="275">
        <v>0</v>
      </c>
      <c r="H35" s="275">
        <v>0</v>
      </c>
      <c r="I35" s="276">
        <v>0</v>
      </c>
      <c r="J35" s="276">
        <v>0</v>
      </c>
      <c r="K35" s="275">
        <v>0</v>
      </c>
      <c r="L35" s="266"/>
      <c r="M35" s="264"/>
    </row>
    <row r="36" spans="2:13" ht="27" customHeight="1">
      <c r="B36" s="261"/>
      <c r="C36" s="252" t="s">
        <v>132</v>
      </c>
      <c r="D36" s="266"/>
      <c r="E36" s="266">
        <v>1</v>
      </c>
      <c r="F36" s="275">
        <v>2.5390000000000001</v>
      </c>
      <c r="G36" s="275">
        <v>0</v>
      </c>
      <c r="H36" s="275">
        <v>0</v>
      </c>
      <c r="I36" s="276">
        <v>0</v>
      </c>
      <c r="J36" s="276">
        <v>0</v>
      </c>
      <c r="K36" s="275">
        <v>0</v>
      </c>
      <c r="L36" s="266"/>
      <c r="M36" s="264"/>
    </row>
    <row r="37" spans="2:13" ht="27" customHeight="1">
      <c r="B37" s="261"/>
      <c r="C37" s="252" t="s">
        <v>133</v>
      </c>
      <c r="D37" s="266"/>
      <c r="E37" s="266">
        <v>1</v>
      </c>
      <c r="F37" s="275">
        <v>3.7919999999999998</v>
      </c>
      <c r="G37" s="275">
        <v>0</v>
      </c>
      <c r="H37" s="275">
        <v>0</v>
      </c>
      <c r="I37" s="276">
        <v>0</v>
      </c>
      <c r="J37" s="276">
        <v>0</v>
      </c>
      <c r="K37" s="275">
        <v>0</v>
      </c>
      <c r="L37" s="266"/>
      <c r="M37" s="264"/>
    </row>
    <row r="38" spans="2:13" ht="27" customHeight="1">
      <c r="B38" s="261"/>
      <c r="C38" s="252" t="s">
        <v>134</v>
      </c>
      <c r="D38" s="266"/>
      <c r="E38" s="266">
        <v>1</v>
      </c>
      <c r="F38" s="275">
        <v>1.9550000000000001</v>
      </c>
      <c r="G38" s="275">
        <v>0</v>
      </c>
      <c r="H38" s="275">
        <v>0</v>
      </c>
      <c r="I38" s="276">
        <v>0</v>
      </c>
      <c r="J38" s="276">
        <v>0</v>
      </c>
      <c r="K38" s="275">
        <v>0</v>
      </c>
      <c r="L38" s="266"/>
      <c r="M38" s="264"/>
    </row>
    <row r="39" spans="2:13" ht="27" customHeight="1">
      <c r="B39" s="261"/>
      <c r="C39" s="252" t="s">
        <v>135</v>
      </c>
      <c r="D39" s="266"/>
      <c r="E39" s="266"/>
      <c r="F39" s="275">
        <v>34.201000000000001</v>
      </c>
      <c r="G39" s="275">
        <v>2.202</v>
      </c>
      <c r="H39" s="275">
        <v>0.82799999999999996</v>
      </c>
      <c r="I39" s="276">
        <v>0</v>
      </c>
      <c r="J39" s="276">
        <v>0</v>
      </c>
      <c r="K39" s="275">
        <v>0</v>
      </c>
      <c r="L39" s="266"/>
      <c r="M39" s="264"/>
    </row>
    <row r="40" spans="2:13" ht="27" customHeight="1">
      <c r="B40" s="261"/>
      <c r="C40" s="252" t="s">
        <v>1645</v>
      </c>
      <c r="D40" s="266"/>
      <c r="E40" s="266" t="s">
        <v>1638</v>
      </c>
      <c r="F40" s="275">
        <v>-0.81</v>
      </c>
      <c r="G40" s="275">
        <v>0</v>
      </c>
      <c r="H40" s="275">
        <v>0</v>
      </c>
      <c r="I40" s="276">
        <v>0</v>
      </c>
      <c r="J40" s="276">
        <v>0</v>
      </c>
      <c r="K40" s="275">
        <v>0</v>
      </c>
      <c r="L40" s="266"/>
      <c r="M40" s="264"/>
    </row>
    <row r="41" spans="2:13" ht="27" customHeight="1">
      <c r="B41" s="261"/>
      <c r="C41" s="252" t="s">
        <v>100</v>
      </c>
      <c r="D41" s="266"/>
      <c r="E41" s="266">
        <v>8</v>
      </c>
      <c r="F41" s="275">
        <v>-0.745</v>
      </c>
      <c r="G41" s="275">
        <v>0</v>
      </c>
      <c r="H41" s="275">
        <v>0</v>
      </c>
      <c r="I41" s="276">
        <v>0</v>
      </c>
      <c r="J41" s="276">
        <v>0</v>
      </c>
      <c r="K41" s="275">
        <v>0</v>
      </c>
      <c r="L41" s="266"/>
      <c r="M41" s="264"/>
    </row>
    <row r="42" spans="2:13" ht="27" customHeight="1">
      <c r="B42" s="261"/>
      <c r="C42" s="252" t="s">
        <v>101</v>
      </c>
      <c r="D42" s="266"/>
      <c r="E42" s="266"/>
      <c r="F42" s="275">
        <v>-0.81</v>
      </c>
      <c r="G42" s="275">
        <v>0</v>
      </c>
      <c r="H42" s="275">
        <v>0</v>
      </c>
      <c r="I42" s="276">
        <v>0</v>
      </c>
      <c r="J42" s="276">
        <v>0</v>
      </c>
      <c r="K42" s="275">
        <v>0.26500000000000001</v>
      </c>
      <c r="L42" s="266"/>
      <c r="M42" s="264"/>
    </row>
    <row r="43" spans="2:13" ht="27" customHeight="1">
      <c r="B43" s="261"/>
      <c r="C43" s="252" t="s">
        <v>102</v>
      </c>
      <c r="D43" s="266"/>
      <c r="E43" s="266"/>
      <c r="F43" s="275">
        <v>-6.5110000000000001</v>
      </c>
      <c r="G43" s="275">
        <v>-0.64400000000000002</v>
      </c>
      <c r="H43" s="275">
        <v>-9.8000000000000004E-2</v>
      </c>
      <c r="I43" s="276">
        <v>0</v>
      </c>
      <c r="J43" s="276">
        <v>0</v>
      </c>
      <c r="K43" s="275">
        <v>0.26500000000000001</v>
      </c>
      <c r="L43" s="266"/>
      <c r="M43" s="264"/>
    </row>
    <row r="44" spans="2:13" ht="27" customHeight="1">
      <c r="B44" s="261"/>
      <c r="C44" s="252" t="s">
        <v>103</v>
      </c>
      <c r="D44" s="266"/>
      <c r="E44" s="266"/>
      <c r="F44" s="275">
        <v>-0.745</v>
      </c>
      <c r="G44" s="275">
        <v>0</v>
      </c>
      <c r="H44" s="275">
        <v>0</v>
      </c>
      <c r="I44" s="276">
        <v>0</v>
      </c>
      <c r="J44" s="276">
        <v>0</v>
      </c>
      <c r="K44" s="275">
        <v>0.23200000000000001</v>
      </c>
      <c r="L44" s="266"/>
      <c r="M44" s="264"/>
    </row>
    <row r="45" spans="2:13" ht="27" customHeight="1">
      <c r="B45" s="261"/>
      <c r="C45" s="252" t="s">
        <v>104</v>
      </c>
      <c r="D45" s="266"/>
      <c r="E45" s="266"/>
      <c r="F45" s="275">
        <v>-6.0039999999999996</v>
      </c>
      <c r="G45" s="275">
        <v>-0.58899999999999997</v>
      </c>
      <c r="H45" s="275">
        <v>-0.09</v>
      </c>
      <c r="I45" s="276">
        <v>0</v>
      </c>
      <c r="J45" s="276">
        <v>0</v>
      </c>
      <c r="K45" s="275">
        <v>0.23200000000000001</v>
      </c>
      <c r="L45" s="266"/>
      <c r="M45" s="264"/>
    </row>
    <row r="46" spans="2:13" ht="27" customHeight="1">
      <c r="B46" s="261"/>
      <c r="C46" s="252" t="s">
        <v>112</v>
      </c>
      <c r="D46" s="266"/>
      <c r="E46" s="266"/>
      <c r="F46" s="275">
        <v>-0.502</v>
      </c>
      <c r="G46" s="275">
        <v>0</v>
      </c>
      <c r="H46" s="275">
        <v>0</v>
      </c>
      <c r="I46" s="276">
        <v>36.630000000000003</v>
      </c>
      <c r="J46" s="276">
        <v>0</v>
      </c>
      <c r="K46" s="275">
        <v>0.189</v>
      </c>
      <c r="L46" s="266"/>
      <c r="M46" s="264"/>
    </row>
    <row r="47" spans="2:13" ht="27" customHeight="1">
      <c r="B47" s="261"/>
      <c r="C47" s="252" t="s">
        <v>113</v>
      </c>
      <c r="D47" s="266"/>
      <c r="E47" s="266"/>
      <c r="F47" s="275">
        <v>-4.13</v>
      </c>
      <c r="G47" s="275">
        <v>-0.38100000000000001</v>
      </c>
      <c r="H47" s="275">
        <v>-6.2E-2</v>
      </c>
      <c r="I47" s="276">
        <v>36.630000000000003</v>
      </c>
      <c r="J47" s="276">
        <v>0</v>
      </c>
      <c r="K47" s="275">
        <v>0.189</v>
      </c>
      <c r="L47" s="266"/>
      <c r="M47" s="264"/>
    </row>
    <row r="48" spans="2:13" ht="27" customHeight="1">
      <c r="B48" s="261"/>
      <c r="C48" s="252" t="s">
        <v>147</v>
      </c>
      <c r="D48" s="266"/>
      <c r="E48" s="266">
        <v>1</v>
      </c>
      <c r="F48" s="275">
        <v>1.7849999999999999</v>
      </c>
      <c r="G48" s="275">
        <v>0</v>
      </c>
      <c r="H48" s="275">
        <v>0</v>
      </c>
      <c r="I48" s="276">
        <v>2.7</v>
      </c>
      <c r="J48" s="276">
        <v>0</v>
      </c>
      <c r="K48" s="275">
        <v>0</v>
      </c>
      <c r="L48" s="266"/>
      <c r="M48" s="264"/>
    </row>
    <row r="49" spans="2:13" ht="27" customHeight="1">
      <c r="B49" s="261"/>
      <c r="C49" s="252" t="s">
        <v>150</v>
      </c>
      <c r="D49" s="266"/>
      <c r="E49" s="266">
        <v>2</v>
      </c>
      <c r="F49" s="275">
        <v>1.931</v>
      </c>
      <c r="G49" s="275">
        <v>0.126</v>
      </c>
      <c r="H49" s="275">
        <v>0</v>
      </c>
      <c r="I49" s="276">
        <v>2.7</v>
      </c>
      <c r="J49" s="276">
        <v>0</v>
      </c>
      <c r="K49" s="275">
        <v>0</v>
      </c>
      <c r="L49" s="266"/>
      <c r="M49" s="264"/>
    </row>
    <row r="50" spans="2:13" ht="27" customHeight="1">
      <c r="B50" s="261"/>
      <c r="C50" s="252" t="s">
        <v>153</v>
      </c>
      <c r="D50" s="266"/>
      <c r="E50" s="266">
        <v>2</v>
      </c>
      <c r="F50" s="275">
        <v>0.186</v>
      </c>
      <c r="G50" s="275">
        <v>0</v>
      </c>
      <c r="H50" s="275">
        <v>0</v>
      </c>
      <c r="I50" s="276">
        <v>0</v>
      </c>
      <c r="J50" s="276">
        <v>0</v>
      </c>
      <c r="K50" s="275">
        <v>0</v>
      </c>
      <c r="L50" s="266"/>
      <c r="M50" s="264"/>
    </row>
    <row r="51" spans="2:13" ht="27" customHeight="1">
      <c r="B51" s="261"/>
      <c r="C51" s="252" t="s">
        <v>156</v>
      </c>
      <c r="D51" s="266"/>
      <c r="E51" s="266">
        <v>3</v>
      </c>
      <c r="F51" s="275">
        <v>1.4039999999999999</v>
      </c>
      <c r="G51" s="275">
        <v>0</v>
      </c>
      <c r="H51" s="275">
        <v>0</v>
      </c>
      <c r="I51" s="276">
        <v>4.7</v>
      </c>
      <c r="J51" s="276">
        <v>0</v>
      </c>
      <c r="K51" s="275">
        <v>0</v>
      </c>
      <c r="L51" s="266"/>
      <c r="M51" s="264"/>
    </row>
    <row r="52" spans="2:13" ht="27" customHeight="1">
      <c r="B52" s="261"/>
      <c r="C52" s="252" t="s">
        <v>159</v>
      </c>
      <c r="D52" s="266"/>
      <c r="E52" s="266">
        <v>4</v>
      </c>
      <c r="F52" s="275">
        <v>1.806</v>
      </c>
      <c r="G52" s="275">
        <v>0.161</v>
      </c>
      <c r="H52" s="275">
        <v>0</v>
      </c>
      <c r="I52" s="276">
        <v>4.7</v>
      </c>
      <c r="J52" s="276">
        <v>0</v>
      </c>
      <c r="K52" s="275">
        <v>0</v>
      </c>
      <c r="L52" s="266"/>
      <c r="M52" s="264"/>
    </row>
    <row r="53" spans="2:13" ht="27" customHeight="1">
      <c r="B53" s="261"/>
      <c r="C53" s="252" t="s">
        <v>162</v>
      </c>
      <c r="D53" s="266"/>
      <c r="E53" s="266">
        <v>4</v>
      </c>
      <c r="F53" s="275">
        <v>0.192</v>
      </c>
      <c r="G53" s="275">
        <v>0</v>
      </c>
      <c r="H53" s="275">
        <v>0</v>
      </c>
      <c r="I53" s="276">
        <v>0</v>
      </c>
      <c r="J53" s="276">
        <v>0</v>
      </c>
      <c r="K53" s="275">
        <v>0</v>
      </c>
      <c r="L53" s="266"/>
      <c r="M53" s="264"/>
    </row>
    <row r="54" spans="2:13" ht="27" customHeight="1">
      <c r="B54" s="261"/>
      <c r="C54" s="252" t="s">
        <v>165</v>
      </c>
      <c r="D54" s="266"/>
      <c r="E54" s="266" t="s">
        <v>1247</v>
      </c>
      <c r="F54" s="275">
        <v>1.6839999999999999</v>
      </c>
      <c r="G54" s="275">
        <v>9.9000000000000005E-2</v>
      </c>
      <c r="H54" s="275">
        <v>0</v>
      </c>
      <c r="I54" s="276">
        <v>27.82</v>
      </c>
      <c r="J54" s="276">
        <v>0</v>
      </c>
      <c r="K54" s="275">
        <v>0</v>
      </c>
      <c r="L54" s="266"/>
      <c r="M54" s="264"/>
    </row>
    <row r="55" spans="2:13" ht="27" customHeight="1">
      <c r="B55" s="261"/>
      <c r="C55" s="252" t="s">
        <v>1644</v>
      </c>
      <c r="D55" s="266"/>
      <c r="E55" s="266"/>
      <c r="F55" s="275">
        <v>10.653</v>
      </c>
      <c r="G55" s="275">
        <v>1.0629999999999999</v>
      </c>
      <c r="H55" s="275">
        <v>0.10199999999999999</v>
      </c>
      <c r="I55" s="276">
        <v>2.7</v>
      </c>
      <c r="J55" s="276">
        <v>0</v>
      </c>
      <c r="K55" s="275">
        <v>0</v>
      </c>
      <c r="L55" s="266"/>
      <c r="M55" s="264"/>
    </row>
    <row r="56" spans="2:13" ht="27" customHeight="1">
      <c r="B56" s="261"/>
      <c r="C56" s="252" t="s">
        <v>1643</v>
      </c>
      <c r="D56" s="266"/>
      <c r="E56" s="266"/>
      <c r="F56" s="275">
        <v>10.654</v>
      </c>
      <c r="G56" s="275">
        <v>1.0609999999999999</v>
      </c>
      <c r="H56" s="275">
        <v>0.10199999999999999</v>
      </c>
      <c r="I56" s="276">
        <v>4.7</v>
      </c>
      <c r="J56" s="276">
        <v>0</v>
      </c>
      <c r="K56" s="275">
        <v>0</v>
      </c>
      <c r="L56" s="266"/>
      <c r="M56" s="264"/>
    </row>
    <row r="57" spans="2:13" ht="27" customHeight="1">
      <c r="B57" s="261"/>
      <c r="C57" s="252" t="s">
        <v>170</v>
      </c>
      <c r="D57" s="266"/>
      <c r="E57" s="266"/>
      <c r="F57" s="275">
        <v>8.1980000000000004</v>
      </c>
      <c r="G57" s="275">
        <v>0.81</v>
      </c>
      <c r="H57" s="275">
        <v>7.4999999999999997E-2</v>
      </c>
      <c r="I57" s="276">
        <v>6.78</v>
      </c>
      <c r="J57" s="276">
        <v>1.89</v>
      </c>
      <c r="K57" s="275">
        <v>0.29099999999999998</v>
      </c>
      <c r="L57" s="266"/>
      <c r="M57" s="264"/>
    </row>
    <row r="58" spans="2:13" ht="27" customHeight="1">
      <c r="B58" s="261"/>
      <c r="C58" s="252" t="s">
        <v>177</v>
      </c>
      <c r="D58" s="266"/>
      <c r="E58" s="266">
        <v>8</v>
      </c>
      <c r="F58" s="275">
        <v>1.514</v>
      </c>
      <c r="G58" s="275">
        <v>0</v>
      </c>
      <c r="H58" s="275">
        <v>0</v>
      </c>
      <c r="I58" s="276">
        <v>0</v>
      </c>
      <c r="J58" s="276">
        <v>0</v>
      </c>
      <c r="K58" s="275">
        <v>0</v>
      </c>
      <c r="L58" s="266"/>
      <c r="M58" s="264"/>
    </row>
    <row r="59" spans="2:13" ht="27" customHeight="1">
      <c r="B59" s="261"/>
      <c r="C59" s="252" t="s">
        <v>180</v>
      </c>
      <c r="D59" s="266"/>
      <c r="E59" s="266">
        <v>1</v>
      </c>
      <c r="F59" s="275">
        <v>1.7270000000000001</v>
      </c>
      <c r="G59" s="275">
        <v>0</v>
      </c>
      <c r="H59" s="275">
        <v>0</v>
      </c>
      <c r="I59" s="276">
        <v>0</v>
      </c>
      <c r="J59" s="276">
        <v>0</v>
      </c>
      <c r="K59" s="275">
        <v>0</v>
      </c>
      <c r="L59" s="266"/>
      <c r="M59" s="264"/>
    </row>
    <row r="60" spans="2:13" ht="27" customHeight="1">
      <c r="B60" s="261"/>
      <c r="C60" s="252" t="s">
        <v>183</v>
      </c>
      <c r="D60" s="266"/>
      <c r="E60" s="266">
        <v>1</v>
      </c>
      <c r="F60" s="275">
        <v>2.58</v>
      </c>
      <c r="G60" s="275">
        <v>0</v>
      </c>
      <c r="H60" s="275">
        <v>0</v>
      </c>
      <c r="I60" s="276">
        <v>0</v>
      </c>
      <c r="J60" s="276">
        <v>0</v>
      </c>
      <c r="K60" s="275">
        <v>0</v>
      </c>
      <c r="L60" s="266"/>
      <c r="M60" s="264"/>
    </row>
    <row r="61" spans="2:13" ht="27" customHeight="1">
      <c r="B61" s="261"/>
      <c r="C61" s="252" t="s">
        <v>186</v>
      </c>
      <c r="D61" s="266"/>
      <c r="E61" s="266">
        <v>1</v>
      </c>
      <c r="F61" s="275">
        <v>1.33</v>
      </c>
      <c r="G61" s="275">
        <v>0</v>
      </c>
      <c r="H61" s="275">
        <v>0</v>
      </c>
      <c r="I61" s="276">
        <v>0</v>
      </c>
      <c r="J61" s="276">
        <v>0</v>
      </c>
      <c r="K61" s="275">
        <v>0</v>
      </c>
      <c r="L61" s="266"/>
      <c r="M61" s="264"/>
    </row>
    <row r="62" spans="2:13" ht="27" customHeight="1">
      <c r="B62" s="261"/>
      <c r="C62" s="252" t="s">
        <v>189</v>
      </c>
      <c r="D62" s="266"/>
      <c r="E62" s="266"/>
      <c r="F62" s="275">
        <v>23.268999999999998</v>
      </c>
      <c r="G62" s="275">
        <v>1.498</v>
      </c>
      <c r="H62" s="275">
        <v>0.56299999999999994</v>
      </c>
      <c r="I62" s="276">
        <v>0</v>
      </c>
      <c r="J62" s="276">
        <v>0</v>
      </c>
      <c r="K62" s="275">
        <v>0</v>
      </c>
      <c r="L62" s="266"/>
      <c r="M62" s="264"/>
    </row>
    <row r="63" spans="2:13" ht="27" customHeight="1">
      <c r="B63" s="261"/>
      <c r="C63" s="252" t="s">
        <v>1642</v>
      </c>
      <c r="D63" s="266"/>
      <c r="E63" s="266" t="s">
        <v>1638</v>
      </c>
      <c r="F63" s="275">
        <v>-0.81</v>
      </c>
      <c r="G63" s="275">
        <v>0</v>
      </c>
      <c r="H63" s="275">
        <v>0</v>
      </c>
      <c r="I63" s="276">
        <v>0</v>
      </c>
      <c r="J63" s="276">
        <v>0</v>
      </c>
      <c r="K63" s="275">
        <v>0</v>
      </c>
      <c r="L63" s="266"/>
      <c r="M63" s="264"/>
    </row>
    <row r="64" spans="2:13" ht="27" customHeight="1">
      <c r="B64" s="261"/>
      <c r="C64" s="252" t="s">
        <v>194</v>
      </c>
      <c r="D64" s="266"/>
      <c r="E64" s="266"/>
      <c r="F64" s="275">
        <v>-0.81</v>
      </c>
      <c r="G64" s="275">
        <v>0</v>
      </c>
      <c r="H64" s="275">
        <v>0</v>
      </c>
      <c r="I64" s="276">
        <v>0</v>
      </c>
      <c r="J64" s="276">
        <v>0</v>
      </c>
      <c r="K64" s="275">
        <v>0.26500000000000001</v>
      </c>
      <c r="L64" s="266"/>
      <c r="M64" s="264"/>
    </row>
    <row r="65" spans="2:13" ht="27" customHeight="1">
      <c r="B65" s="261"/>
      <c r="C65" s="252" t="s">
        <v>197</v>
      </c>
      <c r="D65" s="266"/>
      <c r="E65" s="266"/>
      <c r="F65" s="275">
        <v>-6.5110000000000001</v>
      </c>
      <c r="G65" s="275">
        <v>-0.64400000000000002</v>
      </c>
      <c r="H65" s="275">
        <v>-9.8000000000000004E-2</v>
      </c>
      <c r="I65" s="276">
        <v>0</v>
      </c>
      <c r="J65" s="276">
        <v>0</v>
      </c>
      <c r="K65" s="275">
        <v>0.26500000000000001</v>
      </c>
      <c r="L65" s="266"/>
      <c r="M65" s="264"/>
    </row>
    <row r="66" spans="2:13" ht="27" customHeight="1">
      <c r="B66" s="261"/>
      <c r="C66" s="252" t="s">
        <v>148</v>
      </c>
      <c r="D66" s="266"/>
      <c r="E66" s="266">
        <v>1</v>
      </c>
      <c r="F66" s="275">
        <v>0.94799999999999995</v>
      </c>
      <c r="G66" s="275">
        <v>0</v>
      </c>
      <c r="H66" s="275">
        <v>0</v>
      </c>
      <c r="I66" s="276">
        <v>1.44</v>
      </c>
      <c r="J66" s="276">
        <v>0</v>
      </c>
      <c r="K66" s="275">
        <v>0</v>
      </c>
      <c r="L66" s="266"/>
      <c r="M66" s="264"/>
    </row>
    <row r="67" spans="2:13" ht="27" customHeight="1">
      <c r="B67" s="261"/>
      <c r="C67" s="252" t="s">
        <v>151</v>
      </c>
      <c r="D67" s="266"/>
      <c r="E67" s="266">
        <v>2</v>
      </c>
      <c r="F67" s="275">
        <v>1.026</v>
      </c>
      <c r="G67" s="275">
        <v>6.7000000000000004E-2</v>
      </c>
      <c r="H67" s="275">
        <v>0</v>
      </c>
      <c r="I67" s="276">
        <v>1.44</v>
      </c>
      <c r="J67" s="276">
        <v>0</v>
      </c>
      <c r="K67" s="275">
        <v>0</v>
      </c>
      <c r="L67" s="266"/>
      <c r="M67" s="264"/>
    </row>
    <row r="68" spans="2:13" ht="27" customHeight="1">
      <c r="B68" s="261"/>
      <c r="C68" s="252" t="s">
        <v>154</v>
      </c>
      <c r="D68" s="266"/>
      <c r="E68" s="266">
        <v>2</v>
      </c>
      <c r="F68" s="275">
        <v>9.9000000000000005E-2</v>
      </c>
      <c r="G68" s="275">
        <v>0</v>
      </c>
      <c r="H68" s="275">
        <v>0</v>
      </c>
      <c r="I68" s="276">
        <v>0</v>
      </c>
      <c r="J68" s="276">
        <v>0</v>
      </c>
      <c r="K68" s="275">
        <v>0</v>
      </c>
      <c r="L68" s="266"/>
      <c r="M68" s="264"/>
    </row>
    <row r="69" spans="2:13" ht="27" customHeight="1">
      <c r="B69" s="261"/>
      <c r="C69" s="252" t="s">
        <v>157</v>
      </c>
      <c r="D69" s="266"/>
      <c r="E69" s="266">
        <v>3</v>
      </c>
      <c r="F69" s="275">
        <v>0.746</v>
      </c>
      <c r="G69" s="275">
        <v>0</v>
      </c>
      <c r="H69" s="275">
        <v>0</v>
      </c>
      <c r="I69" s="276">
        <v>2.5</v>
      </c>
      <c r="J69" s="276">
        <v>0</v>
      </c>
      <c r="K69" s="275">
        <v>0</v>
      </c>
      <c r="L69" s="266"/>
      <c r="M69" s="264"/>
    </row>
    <row r="70" spans="2:13" ht="27" customHeight="1">
      <c r="B70" s="261"/>
      <c r="C70" s="252" t="s">
        <v>160</v>
      </c>
      <c r="D70" s="266"/>
      <c r="E70" s="266">
        <v>4</v>
      </c>
      <c r="F70" s="275">
        <v>0.96</v>
      </c>
      <c r="G70" s="275">
        <v>8.5999999999999993E-2</v>
      </c>
      <c r="H70" s="275">
        <v>0</v>
      </c>
      <c r="I70" s="276">
        <v>2.5</v>
      </c>
      <c r="J70" s="276">
        <v>0</v>
      </c>
      <c r="K70" s="275">
        <v>0</v>
      </c>
      <c r="L70" s="266"/>
      <c r="M70" s="264"/>
    </row>
    <row r="71" spans="2:13" ht="27" customHeight="1">
      <c r="B71" s="261"/>
      <c r="C71" s="252" t="s">
        <v>163</v>
      </c>
      <c r="D71" s="266"/>
      <c r="E71" s="266">
        <v>4</v>
      </c>
      <c r="F71" s="275">
        <v>0.10199999999999999</v>
      </c>
      <c r="G71" s="275">
        <v>0</v>
      </c>
      <c r="H71" s="275">
        <v>0</v>
      </c>
      <c r="I71" s="276">
        <v>0</v>
      </c>
      <c r="J71" s="276">
        <v>0</v>
      </c>
      <c r="K71" s="275">
        <v>0</v>
      </c>
      <c r="L71" s="266"/>
      <c r="M71" s="264"/>
    </row>
    <row r="72" spans="2:13" ht="27" customHeight="1">
      <c r="B72" s="261"/>
      <c r="C72" s="252" t="s">
        <v>166</v>
      </c>
      <c r="D72" s="266"/>
      <c r="E72" s="266" t="s">
        <v>1247</v>
      </c>
      <c r="F72" s="275">
        <v>0.89500000000000002</v>
      </c>
      <c r="G72" s="275">
        <v>5.1999999999999998E-2</v>
      </c>
      <c r="H72" s="275">
        <v>0</v>
      </c>
      <c r="I72" s="276">
        <v>14.78</v>
      </c>
      <c r="J72" s="276">
        <v>0</v>
      </c>
      <c r="K72" s="275">
        <v>0</v>
      </c>
      <c r="L72" s="266"/>
      <c r="M72" s="264"/>
    </row>
    <row r="73" spans="2:13" ht="27" customHeight="1">
      <c r="B73" s="261"/>
      <c r="C73" s="252" t="s">
        <v>1641</v>
      </c>
      <c r="D73" s="266"/>
      <c r="E73" s="266"/>
      <c r="F73" s="275">
        <v>5.6609999999999996</v>
      </c>
      <c r="G73" s="275">
        <v>0.56499999999999995</v>
      </c>
      <c r="H73" s="275">
        <v>5.3999999999999999E-2</v>
      </c>
      <c r="I73" s="276">
        <v>1.44</v>
      </c>
      <c r="J73" s="276">
        <v>0</v>
      </c>
      <c r="K73" s="275">
        <v>0</v>
      </c>
      <c r="L73" s="266"/>
      <c r="M73" s="264"/>
    </row>
    <row r="74" spans="2:13" ht="27" customHeight="1">
      <c r="B74" s="261"/>
      <c r="C74" s="252" t="s">
        <v>1640</v>
      </c>
      <c r="D74" s="266"/>
      <c r="E74" s="266"/>
      <c r="F74" s="275">
        <v>5.6609999999999996</v>
      </c>
      <c r="G74" s="275">
        <v>0.56399999999999995</v>
      </c>
      <c r="H74" s="275">
        <v>5.3999999999999999E-2</v>
      </c>
      <c r="I74" s="276">
        <v>2.5</v>
      </c>
      <c r="J74" s="276">
        <v>0</v>
      </c>
      <c r="K74" s="275">
        <v>0</v>
      </c>
      <c r="L74" s="266"/>
      <c r="M74" s="264"/>
    </row>
    <row r="75" spans="2:13" ht="27" customHeight="1">
      <c r="B75" s="261"/>
      <c r="C75" s="252" t="s">
        <v>171</v>
      </c>
      <c r="D75" s="266"/>
      <c r="E75" s="266"/>
      <c r="F75" s="275">
        <v>4.3559999999999999</v>
      </c>
      <c r="G75" s="275">
        <v>0.43099999999999999</v>
      </c>
      <c r="H75" s="275">
        <v>0.04</v>
      </c>
      <c r="I75" s="276">
        <v>3.6</v>
      </c>
      <c r="J75" s="276">
        <v>1.01</v>
      </c>
      <c r="K75" s="275">
        <v>0.154</v>
      </c>
      <c r="L75" s="266"/>
      <c r="M75" s="264"/>
    </row>
    <row r="76" spans="2:13" ht="27" customHeight="1">
      <c r="B76" s="261"/>
      <c r="C76" s="252" t="s">
        <v>173</v>
      </c>
      <c r="D76" s="266"/>
      <c r="E76" s="266"/>
      <c r="F76" s="275">
        <v>5.1539999999999999</v>
      </c>
      <c r="G76" s="275">
        <v>0.5</v>
      </c>
      <c r="H76" s="275">
        <v>4.2999999999999997E-2</v>
      </c>
      <c r="I76" s="276">
        <v>4.12</v>
      </c>
      <c r="J76" s="276">
        <v>1.79</v>
      </c>
      <c r="K76" s="275">
        <v>0.2</v>
      </c>
      <c r="L76" s="266"/>
      <c r="M76" s="264"/>
    </row>
    <row r="77" spans="2:13" ht="27" customHeight="1">
      <c r="B77" s="261"/>
      <c r="C77" s="252" t="s">
        <v>175</v>
      </c>
      <c r="D77" s="266"/>
      <c r="E77" s="266"/>
      <c r="F77" s="275">
        <v>5.6840000000000002</v>
      </c>
      <c r="G77" s="275">
        <v>0.54700000000000004</v>
      </c>
      <c r="H77" s="275">
        <v>4.2999999999999997E-2</v>
      </c>
      <c r="I77" s="276">
        <v>49.7</v>
      </c>
      <c r="J77" s="276">
        <v>2.16</v>
      </c>
      <c r="K77" s="275">
        <v>0.187</v>
      </c>
      <c r="L77" s="266"/>
      <c r="M77" s="264"/>
    </row>
    <row r="78" spans="2:13" ht="27" customHeight="1">
      <c r="B78" s="261"/>
      <c r="C78" s="252" t="s">
        <v>178</v>
      </c>
      <c r="D78" s="266"/>
      <c r="E78" s="266">
        <v>8</v>
      </c>
      <c r="F78" s="275">
        <v>0.80400000000000005</v>
      </c>
      <c r="G78" s="275">
        <v>0</v>
      </c>
      <c r="H78" s="275">
        <v>0</v>
      </c>
      <c r="I78" s="276">
        <v>0</v>
      </c>
      <c r="J78" s="276">
        <v>0</v>
      </c>
      <c r="K78" s="275">
        <v>0</v>
      </c>
      <c r="L78" s="266"/>
      <c r="M78" s="264"/>
    </row>
    <row r="79" spans="2:13" ht="27" customHeight="1">
      <c r="B79" s="261"/>
      <c r="C79" s="252" t="s">
        <v>181</v>
      </c>
      <c r="D79" s="266"/>
      <c r="E79" s="266">
        <v>1</v>
      </c>
      <c r="F79" s="275">
        <v>0.91800000000000004</v>
      </c>
      <c r="G79" s="275">
        <v>0</v>
      </c>
      <c r="H79" s="275">
        <v>0</v>
      </c>
      <c r="I79" s="276">
        <v>0</v>
      </c>
      <c r="J79" s="276">
        <v>0</v>
      </c>
      <c r="K79" s="275">
        <v>0</v>
      </c>
      <c r="L79" s="266"/>
      <c r="M79" s="264"/>
    </row>
    <row r="80" spans="2:13" ht="27" customHeight="1">
      <c r="B80" s="261"/>
      <c r="C80" s="252" t="s">
        <v>184</v>
      </c>
      <c r="D80" s="266"/>
      <c r="E80" s="266">
        <v>1</v>
      </c>
      <c r="F80" s="275">
        <v>1.371</v>
      </c>
      <c r="G80" s="275">
        <v>0</v>
      </c>
      <c r="H80" s="275">
        <v>0</v>
      </c>
      <c r="I80" s="276">
        <v>0</v>
      </c>
      <c r="J80" s="276">
        <v>0</v>
      </c>
      <c r="K80" s="275">
        <v>0</v>
      </c>
      <c r="L80" s="266"/>
      <c r="M80" s="264"/>
    </row>
    <row r="81" spans="2:13" ht="27" customHeight="1">
      <c r="B81" s="261"/>
      <c r="C81" s="252" t="s">
        <v>187</v>
      </c>
      <c r="D81" s="266"/>
      <c r="E81" s="266">
        <v>1</v>
      </c>
      <c r="F81" s="275">
        <v>0.70699999999999996</v>
      </c>
      <c r="G81" s="275">
        <v>0</v>
      </c>
      <c r="H81" s="275">
        <v>0</v>
      </c>
      <c r="I81" s="276">
        <v>0</v>
      </c>
      <c r="J81" s="276">
        <v>0</v>
      </c>
      <c r="K81" s="275">
        <v>0</v>
      </c>
      <c r="L81" s="266"/>
      <c r="M81" s="264"/>
    </row>
    <row r="82" spans="2:13" ht="27" customHeight="1">
      <c r="B82" s="261"/>
      <c r="C82" s="252" t="s">
        <v>190</v>
      </c>
      <c r="D82" s="266"/>
      <c r="E82" s="266"/>
      <c r="F82" s="275">
        <v>12.365</v>
      </c>
      <c r="G82" s="275">
        <v>0.79600000000000004</v>
      </c>
      <c r="H82" s="275">
        <v>0.29899999999999999</v>
      </c>
      <c r="I82" s="276">
        <v>0</v>
      </c>
      <c r="J82" s="276">
        <v>0</v>
      </c>
      <c r="K82" s="275">
        <v>0</v>
      </c>
      <c r="L82" s="266"/>
      <c r="M82" s="264"/>
    </row>
    <row r="83" spans="2:13" ht="27" customHeight="1">
      <c r="B83" s="261"/>
      <c r="C83" s="252" t="s">
        <v>1639</v>
      </c>
      <c r="D83" s="266"/>
      <c r="E83" s="266" t="s">
        <v>1638</v>
      </c>
      <c r="F83" s="275">
        <v>-0.81</v>
      </c>
      <c r="G83" s="275">
        <v>0</v>
      </c>
      <c r="H83" s="275">
        <v>0</v>
      </c>
      <c r="I83" s="276">
        <v>0</v>
      </c>
      <c r="J83" s="276">
        <v>0</v>
      </c>
      <c r="K83" s="275">
        <v>0</v>
      </c>
      <c r="L83" s="266"/>
      <c r="M83" s="264"/>
    </row>
    <row r="84" spans="2:13" ht="27" customHeight="1">
      <c r="B84" s="261"/>
      <c r="C84" s="252" t="s">
        <v>192</v>
      </c>
      <c r="D84" s="266"/>
      <c r="E84" s="266">
        <v>8</v>
      </c>
      <c r="F84" s="275">
        <v>-0.745</v>
      </c>
      <c r="G84" s="275">
        <v>0</v>
      </c>
      <c r="H84" s="275">
        <v>0</v>
      </c>
      <c r="I84" s="276">
        <v>0</v>
      </c>
      <c r="J84" s="276">
        <v>0</v>
      </c>
      <c r="K84" s="275">
        <v>0</v>
      </c>
      <c r="L84" s="266"/>
      <c r="M84" s="264"/>
    </row>
    <row r="85" spans="2:13" ht="27" customHeight="1">
      <c r="B85" s="261"/>
      <c r="C85" s="252" t="s">
        <v>195</v>
      </c>
      <c r="D85" s="266"/>
      <c r="E85" s="266"/>
      <c r="F85" s="275">
        <v>-0.81</v>
      </c>
      <c r="G85" s="275">
        <v>0</v>
      </c>
      <c r="H85" s="275">
        <v>0</v>
      </c>
      <c r="I85" s="276">
        <v>0</v>
      </c>
      <c r="J85" s="276">
        <v>0</v>
      </c>
      <c r="K85" s="275">
        <v>0.26500000000000001</v>
      </c>
      <c r="L85" s="266"/>
      <c r="M85" s="264"/>
    </row>
    <row r="86" spans="2:13" ht="27" customHeight="1">
      <c r="B86" s="261"/>
      <c r="C86" s="252" t="s">
        <v>198</v>
      </c>
      <c r="D86" s="266"/>
      <c r="E86" s="266"/>
      <c r="F86" s="275">
        <v>-6.5110000000000001</v>
      </c>
      <c r="G86" s="275">
        <v>-0.64400000000000002</v>
      </c>
      <c r="H86" s="275">
        <v>-9.8000000000000004E-2</v>
      </c>
      <c r="I86" s="276">
        <v>0</v>
      </c>
      <c r="J86" s="276">
        <v>0</v>
      </c>
      <c r="K86" s="275">
        <v>0.26500000000000001</v>
      </c>
      <c r="L86" s="266"/>
      <c r="M86" s="264"/>
    </row>
    <row r="87" spans="2:13" ht="27" customHeight="1">
      <c r="B87" s="261"/>
      <c r="C87" s="252" t="s">
        <v>200</v>
      </c>
      <c r="D87" s="266"/>
      <c r="E87" s="266"/>
      <c r="F87" s="275">
        <v>-0.745</v>
      </c>
      <c r="G87" s="275">
        <v>0</v>
      </c>
      <c r="H87" s="275">
        <v>0</v>
      </c>
      <c r="I87" s="276">
        <v>0</v>
      </c>
      <c r="J87" s="276">
        <v>0</v>
      </c>
      <c r="K87" s="275">
        <v>0.23200000000000001</v>
      </c>
      <c r="L87" s="266"/>
      <c r="M87" s="264"/>
    </row>
    <row r="88" spans="2:13" ht="27" customHeight="1">
      <c r="B88" s="261"/>
      <c r="C88" s="252" t="s">
        <v>202</v>
      </c>
      <c r="D88" s="266"/>
      <c r="E88" s="266"/>
      <c r="F88" s="275">
        <v>-6.0039999999999996</v>
      </c>
      <c r="G88" s="275">
        <v>-0.58899999999999997</v>
      </c>
      <c r="H88" s="275">
        <v>-0.09</v>
      </c>
      <c r="I88" s="276">
        <v>0</v>
      </c>
      <c r="J88" s="276">
        <v>0</v>
      </c>
      <c r="K88" s="275">
        <v>0.23200000000000001</v>
      </c>
      <c r="L88" s="266"/>
      <c r="M88" s="264"/>
    </row>
    <row r="89" spans="2:13" ht="27" customHeight="1">
      <c r="B89" s="261"/>
      <c r="C89" s="252" t="s">
        <v>204</v>
      </c>
      <c r="D89" s="266"/>
      <c r="E89" s="266"/>
      <c r="F89" s="275">
        <v>-0.502</v>
      </c>
      <c r="G89" s="275">
        <v>0</v>
      </c>
      <c r="H89" s="275">
        <v>0</v>
      </c>
      <c r="I89" s="276">
        <v>0</v>
      </c>
      <c r="J89" s="276">
        <v>0</v>
      </c>
      <c r="K89" s="275">
        <v>0.189</v>
      </c>
      <c r="L89" s="266"/>
      <c r="M89" s="264"/>
    </row>
    <row r="90" spans="2:13" ht="27" customHeight="1">
      <c r="B90" s="261"/>
      <c r="C90" s="252" t="s">
        <v>206</v>
      </c>
      <c r="D90" s="266"/>
      <c r="E90" s="266"/>
      <c r="F90" s="275">
        <v>-4.13</v>
      </c>
      <c r="G90" s="275">
        <v>-0.38100000000000001</v>
      </c>
      <c r="H90" s="275">
        <v>-6.2E-2</v>
      </c>
      <c r="I90" s="276">
        <v>0</v>
      </c>
      <c r="J90" s="276">
        <v>0</v>
      </c>
      <c r="K90" s="275">
        <v>0.189</v>
      </c>
      <c r="L90" s="266"/>
      <c r="M90" s="264"/>
    </row>
    <row r="91" spans="2:13" ht="27" customHeight="1" thickBot="1">
      <c r="B91" s="267"/>
      <c r="C91" s="268"/>
      <c r="D91" s="268"/>
      <c r="E91" s="268"/>
      <c r="F91" s="268"/>
      <c r="G91" s="268"/>
      <c r="H91" s="268"/>
      <c r="I91" s="268"/>
      <c r="J91" s="268"/>
      <c r="K91" s="268"/>
      <c r="L91" s="268"/>
      <c r="M91" s="269"/>
    </row>
    <row r="92" spans="2:13" ht="27" customHeight="1"/>
    <row r="93" spans="2:13" ht="27" customHeight="1"/>
    <row r="94" spans="2:13" ht="27" customHeight="1" thickBot="1"/>
    <row r="95" spans="2:13" ht="27" customHeight="1">
      <c r="B95" s="257"/>
      <c r="C95" s="258"/>
      <c r="D95" s="259"/>
      <c r="E95" s="259"/>
      <c r="F95" s="259"/>
      <c r="G95" s="259"/>
      <c r="H95" s="259"/>
      <c r="I95" s="259"/>
      <c r="J95" s="259"/>
      <c r="K95" s="259"/>
      <c r="L95" s="259"/>
      <c r="M95" s="260"/>
    </row>
    <row r="96" spans="2:13" ht="27" customHeight="1">
      <c r="B96" s="261"/>
      <c r="C96" s="262" t="str">
        <f>"Tariffs for Charging Year: "&amp; " "&amp;D7&amp;""</f>
        <v>Tariffs for Charging Year:  2016/17</v>
      </c>
      <c r="D96" s="262"/>
      <c r="E96" s="262"/>
      <c r="F96" s="262"/>
      <c r="G96" s="262"/>
      <c r="H96" s="262"/>
      <c r="I96" s="263"/>
      <c r="J96" s="263"/>
      <c r="K96" s="263"/>
      <c r="L96" s="263"/>
      <c r="M96" s="264"/>
    </row>
    <row r="97" spans="2:13" ht="27" customHeight="1">
      <c r="B97" s="261"/>
      <c r="C97" s="247"/>
      <c r="D97" s="263"/>
      <c r="E97" s="263"/>
      <c r="F97" s="263"/>
      <c r="G97" s="263"/>
      <c r="H97" s="263"/>
      <c r="I97" s="263"/>
      <c r="J97" s="263"/>
      <c r="K97" s="263"/>
      <c r="L97" s="263"/>
      <c r="M97" s="264"/>
    </row>
    <row r="98" spans="2:13" ht="27" customHeight="1">
      <c r="B98" s="261"/>
      <c r="C98" s="247"/>
      <c r="D98" s="263"/>
      <c r="E98" s="263"/>
      <c r="F98" s="263"/>
      <c r="G98" s="263"/>
      <c r="H98" s="263"/>
      <c r="I98" s="263"/>
      <c r="J98" s="263"/>
      <c r="K98" s="263"/>
      <c r="L98" s="263"/>
      <c r="M98" s="264"/>
    </row>
    <row r="99" spans="2:13" ht="27" customHeight="1">
      <c r="B99" s="261"/>
      <c r="C99" s="265"/>
      <c r="D99" s="236" t="s">
        <v>1244</v>
      </c>
      <c r="E99" s="236" t="s">
        <v>1245</v>
      </c>
      <c r="F99" s="236" t="s">
        <v>1164</v>
      </c>
      <c r="G99" s="236" t="s">
        <v>1165</v>
      </c>
      <c r="H99" s="236" t="s">
        <v>1166</v>
      </c>
      <c r="I99" s="236" t="s">
        <v>1167</v>
      </c>
      <c r="J99" s="236" t="s">
        <v>1168</v>
      </c>
      <c r="K99" s="236" t="s">
        <v>791</v>
      </c>
      <c r="L99" s="236" t="s">
        <v>1246</v>
      </c>
      <c r="M99" s="264"/>
    </row>
    <row r="100" spans="2:13" ht="27" customHeight="1">
      <c r="B100" s="261"/>
      <c r="C100" s="235" t="s">
        <v>92</v>
      </c>
      <c r="D100" s="266"/>
      <c r="E100" s="266">
        <v>1</v>
      </c>
      <c r="F100" s="275">
        <v>2.843</v>
      </c>
      <c r="G100" s="275">
        <v>0</v>
      </c>
      <c r="H100" s="275">
        <v>0</v>
      </c>
      <c r="I100" s="276">
        <v>4.26</v>
      </c>
      <c r="J100" s="276">
        <v>0</v>
      </c>
      <c r="K100" s="275">
        <v>0</v>
      </c>
      <c r="L100" s="266"/>
      <c r="M100" s="264"/>
    </row>
    <row r="101" spans="2:13" ht="27" customHeight="1">
      <c r="B101" s="261"/>
      <c r="C101" s="235" t="s">
        <v>93</v>
      </c>
      <c r="D101" s="266"/>
      <c r="E101" s="266">
        <v>2</v>
      </c>
      <c r="F101" s="275">
        <v>3.0819999999999999</v>
      </c>
      <c r="G101" s="275">
        <v>0.191</v>
      </c>
      <c r="H101" s="275">
        <v>0</v>
      </c>
      <c r="I101" s="276">
        <v>4.26</v>
      </c>
      <c r="J101" s="276">
        <v>0</v>
      </c>
      <c r="K101" s="275">
        <v>0</v>
      </c>
      <c r="L101" s="266"/>
      <c r="M101" s="264"/>
    </row>
    <row r="102" spans="2:13" ht="27" customHeight="1">
      <c r="B102" s="261"/>
      <c r="C102" s="235" t="s">
        <v>129</v>
      </c>
      <c r="D102" s="266"/>
      <c r="E102" s="266">
        <v>2</v>
      </c>
      <c r="F102" s="275">
        <v>0.28999999999999998</v>
      </c>
      <c r="G102" s="275">
        <v>0</v>
      </c>
      <c r="H102" s="275">
        <v>0</v>
      </c>
      <c r="I102" s="276">
        <v>0</v>
      </c>
      <c r="J102" s="276">
        <v>0</v>
      </c>
      <c r="K102" s="275">
        <v>0</v>
      </c>
      <c r="L102" s="266"/>
      <c r="M102" s="264"/>
    </row>
    <row r="103" spans="2:13" ht="27" customHeight="1">
      <c r="B103" s="261"/>
      <c r="C103" s="235" t="s">
        <v>94</v>
      </c>
      <c r="D103" s="266"/>
      <c r="E103" s="266">
        <v>3</v>
      </c>
      <c r="F103" s="275">
        <v>2.2360000000000002</v>
      </c>
      <c r="G103" s="275">
        <v>0</v>
      </c>
      <c r="H103" s="275">
        <v>0</v>
      </c>
      <c r="I103" s="276">
        <v>7.15</v>
      </c>
      <c r="J103" s="276">
        <v>0</v>
      </c>
      <c r="K103" s="275">
        <v>0</v>
      </c>
      <c r="L103" s="266"/>
      <c r="M103" s="264"/>
    </row>
    <row r="104" spans="2:13" ht="27" customHeight="1">
      <c r="B104" s="261"/>
      <c r="C104" s="235" t="s">
        <v>95</v>
      </c>
      <c r="D104" s="266"/>
      <c r="E104" s="266">
        <v>4</v>
      </c>
      <c r="F104" s="275">
        <v>2.8809999999999998</v>
      </c>
      <c r="G104" s="275">
        <v>0.247</v>
      </c>
      <c r="H104" s="275">
        <v>0</v>
      </c>
      <c r="I104" s="276">
        <v>7.15</v>
      </c>
      <c r="J104" s="276">
        <v>0</v>
      </c>
      <c r="K104" s="275">
        <v>0</v>
      </c>
      <c r="L104" s="266"/>
      <c r="M104" s="264"/>
    </row>
    <row r="105" spans="2:13" ht="27" customHeight="1">
      <c r="B105" s="261"/>
      <c r="C105" s="235" t="s">
        <v>130</v>
      </c>
      <c r="D105" s="266"/>
      <c r="E105" s="266">
        <v>4</v>
      </c>
      <c r="F105" s="275">
        <v>0.3</v>
      </c>
      <c r="G105" s="275">
        <v>0</v>
      </c>
      <c r="H105" s="275">
        <v>0</v>
      </c>
      <c r="I105" s="276">
        <v>0</v>
      </c>
      <c r="J105" s="276">
        <v>0</v>
      </c>
      <c r="K105" s="275">
        <v>0</v>
      </c>
      <c r="L105" s="266"/>
      <c r="M105" s="264"/>
    </row>
    <row r="106" spans="2:13" ht="27" customHeight="1">
      <c r="B106" s="261"/>
      <c r="C106" s="235" t="s">
        <v>96</v>
      </c>
      <c r="D106" s="266"/>
      <c r="E106" s="266" t="s">
        <v>1247</v>
      </c>
      <c r="F106" s="275">
        <v>2.6869999999999998</v>
      </c>
      <c r="G106" s="275">
        <v>0.14799999999999999</v>
      </c>
      <c r="H106" s="275">
        <v>0</v>
      </c>
      <c r="I106" s="276">
        <v>41.58</v>
      </c>
      <c r="J106" s="276">
        <v>0</v>
      </c>
      <c r="K106" s="275">
        <v>0</v>
      </c>
      <c r="L106" s="266"/>
      <c r="M106" s="264"/>
    </row>
    <row r="107" spans="2:13" ht="27" customHeight="1">
      <c r="B107" s="261"/>
      <c r="C107" s="235" t="s">
        <v>97</v>
      </c>
      <c r="D107" s="266"/>
      <c r="E107" s="266" t="s">
        <v>1247</v>
      </c>
      <c r="F107" s="275">
        <v>2.573</v>
      </c>
      <c r="G107" s="275">
        <v>0.13800000000000001</v>
      </c>
      <c r="H107" s="275">
        <v>0</v>
      </c>
      <c r="I107" s="276">
        <v>30.02</v>
      </c>
      <c r="J107" s="276">
        <v>0</v>
      </c>
      <c r="K107" s="275">
        <v>0</v>
      </c>
      <c r="L107" s="266"/>
      <c r="M107" s="264"/>
    </row>
    <row r="108" spans="2:13" ht="27" customHeight="1">
      <c r="B108" s="261"/>
      <c r="C108" s="235" t="s">
        <v>110</v>
      </c>
      <c r="D108" s="266"/>
      <c r="E108" s="266" t="s">
        <v>1247</v>
      </c>
      <c r="F108" s="275">
        <v>1.893</v>
      </c>
      <c r="G108" s="275">
        <v>8.4000000000000005E-2</v>
      </c>
      <c r="H108" s="275">
        <v>0</v>
      </c>
      <c r="I108" s="276">
        <v>155.38999999999999</v>
      </c>
      <c r="J108" s="276">
        <v>0</v>
      </c>
      <c r="K108" s="275">
        <v>0</v>
      </c>
      <c r="L108" s="266"/>
      <c r="M108" s="264"/>
    </row>
    <row r="109" spans="2:13" ht="27" customHeight="1">
      <c r="B109" s="261"/>
      <c r="C109" s="235" t="s">
        <v>1647</v>
      </c>
      <c r="D109" s="266"/>
      <c r="E109" s="266"/>
      <c r="F109" s="275">
        <v>17.012</v>
      </c>
      <c r="G109" s="275">
        <v>1.6930000000000001</v>
      </c>
      <c r="H109" s="275">
        <v>0.152</v>
      </c>
      <c r="I109" s="276">
        <v>4.26</v>
      </c>
      <c r="J109" s="276">
        <v>0</v>
      </c>
      <c r="K109" s="275">
        <v>0</v>
      </c>
      <c r="L109" s="266"/>
      <c r="M109" s="264"/>
    </row>
    <row r="110" spans="2:13" ht="27" customHeight="1">
      <c r="B110" s="261"/>
      <c r="C110" s="235" t="s">
        <v>1646</v>
      </c>
      <c r="D110" s="266"/>
      <c r="E110" s="266"/>
      <c r="F110" s="275">
        <v>17.023</v>
      </c>
      <c r="G110" s="275">
        <v>1.6919999999999999</v>
      </c>
      <c r="H110" s="275">
        <v>0.152</v>
      </c>
      <c r="I110" s="276">
        <v>7.15</v>
      </c>
      <c r="J110" s="276">
        <v>0</v>
      </c>
      <c r="K110" s="275">
        <v>0</v>
      </c>
      <c r="L110" s="266"/>
      <c r="M110" s="264"/>
    </row>
    <row r="111" spans="2:13" ht="27" customHeight="1">
      <c r="B111" s="261"/>
      <c r="C111" s="235" t="s">
        <v>98</v>
      </c>
      <c r="D111" s="266"/>
      <c r="E111" s="266"/>
      <c r="F111" s="275">
        <v>13.179</v>
      </c>
      <c r="G111" s="275">
        <v>1.3</v>
      </c>
      <c r="H111" s="275">
        <v>0.112</v>
      </c>
      <c r="I111" s="276">
        <v>10.69</v>
      </c>
      <c r="J111" s="276">
        <v>2.78</v>
      </c>
      <c r="K111" s="275">
        <v>0.46500000000000002</v>
      </c>
      <c r="L111" s="266"/>
      <c r="M111" s="264"/>
    </row>
    <row r="112" spans="2:13" ht="27" customHeight="1">
      <c r="B112" s="261"/>
      <c r="C112" s="235" t="s">
        <v>99</v>
      </c>
      <c r="D112" s="266"/>
      <c r="E112" s="266"/>
      <c r="F112" s="275">
        <v>10.512</v>
      </c>
      <c r="G112" s="275">
        <v>1.02</v>
      </c>
      <c r="H112" s="275">
        <v>8.2000000000000003E-2</v>
      </c>
      <c r="I112" s="276">
        <v>8.23</v>
      </c>
      <c r="J112" s="276">
        <v>3.14</v>
      </c>
      <c r="K112" s="275">
        <v>0.40699999999999997</v>
      </c>
      <c r="L112" s="266"/>
      <c r="M112" s="264"/>
    </row>
    <row r="113" spans="2:13" ht="27" customHeight="1">
      <c r="B113" s="261"/>
      <c r="C113" s="235" t="s">
        <v>111</v>
      </c>
      <c r="D113" s="266"/>
      <c r="E113" s="266"/>
      <c r="F113" s="275">
        <v>9.7739999999999991</v>
      </c>
      <c r="G113" s="275">
        <v>0.94399999999999995</v>
      </c>
      <c r="H113" s="275">
        <v>6.9000000000000006E-2</v>
      </c>
      <c r="I113" s="276">
        <v>81.7</v>
      </c>
      <c r="J113" s="276">
        <v>3.25</v>
      </c>
      <c r="K113" s="275">
        <v>0.32200000000000001</v>
      </c>
      <c r="L113" s="266"/>
      <c r="M113" s="264"/>
    </row>
    <row r="114" spans="2:13" ht="27" customHeight="1">
      <c r="B114" s="261"/>
      <c r="C114" s="235" t="s">
        <v>131</v>
      </c>
      <c r="D114" s="266"/>
      <c r="E114" s="266">
        <v>8</v>
      </c>
      <c r="F114" s="275">
        <v>2.403</v>
      </c>
      <c r="G114" s="275">
        <v>0</v>
      </c>
      <c r="H114" s="275">
        <v>0</v>
      </c>
      <c r="I114" s="276">
        <v>0</v>
      </c>
      <c r="J114" s="276">
        <v>0</v>
      </c>
      <c r="K114" s="275">
        <v>0</v>
      </c>
      <c r="L114" s="266"/>
      <c r="M114" s="264"/>
    </row>
    <row r="115" spans="2:13" ht="27" customHeight="1">
      <c r="B115" s="261"/>
      <c r="C115" s="235" t="s">
        <v>132</v>
      </c>
      <c r="D115" s="266"/>
      <c r="E115" s="266">
        <v>1</v>
      </c>
      <c r="F115" s="275">
        <v>2.72</v>
      </c>
      <c r="G115" s="275">
        <v>0</v>
      </c>
      <c r="H115" s="275">
        <v>0</v>
      </c>
      <c r="I115" s="276">
        <v>0</v>
      </c>
      <c r="J115" s="276">
        <v>0</v>
      </c>
      <c r="K115" s="275">
        <v>0</v>
      </c>
      <c r="L115" s="266"/>
      <c r="M115" s="264"/>
    </row>
    <row r="116" spans="2:13" ht="27" customHeight="1">
      <c r="B116" s="261"/>
      <c r="C116" s="235" t="s">
        <v>133</v>
      </c>
      <c r="D116" s="266"/>
      <c r="E116" s="266">
        <v>1</v>
      </c>
      <c r="F116" s="275">
        <v>4.0609999999999999</v>
      </c>
      <c r="G116" s="275">
        <v>0</v>
      </c>
      <c r="H116" s="275">
        <v>0</v>
      </c>
      <c r="I116" s="276">
        <v>0</v>
      </c>
      <c r="J116" s="276">
        <v>0</v>
      </c>
      <c r="K116" s="275">
        <v>0</v>
      </c>
      <c r="L116" s="266"/>
      <c r="M116" s="264"/>
    </row>
    <row r="117" spans="2:13" ht="27" customHeight="1">
      <c r="B117" s="261"/>
      <c r="C117" s="235" t="s">
        <v>134</v>
      </c>
      <c r="D117" s="266"/>
      <c r="E117" s="266">
        <v>1</v>
      </c>
      <c r="F117" s="275">
        <v>2.129</v>
      </c>
      <c r="G117" s="275">
        <v>0</v>
      </c>
      <c r="H117" s="275">
        <v>0</v>
      </c>
      <c r="I117" s="276">
        <v>0</v>
      </c>
      <c r="J117" s="276">
        <v>0</v>
      </c>
      <c r="K117" s="275">
        <v>0</v>
      </c>
      <c r="L117" s="266"/>
      <c r="M117" s="264"/>
    </row>
    <row r="118" spans="2:13" ht="27" customHeight="1">
      <c r="B118" s="261"/>
      <c r="C118" s="235" t="s">
        <v>135</v>
      </c>
      <c r="D118" s="266"/>
      <c r="E118" s="266"/>
      <c r="F118" s="275">
        <v>36.405999999999999</v>
      </c>
      <c r="G118" s="275">
        <v>2.407</v>
      </c>
      <c r="H118" s="275">
        <v>0.88900000000000001</v>
      </c>
      <c r="I118" s="276">
        <v>0</v>
      </c>
      <c r="J118" s="276">
        <v>0</v>
      </c>
      <c r="K118" s="275">
        <v>0</v>
      </c>
      <c r="L118" s="266"/>
      <c r="M118" s="264"/>
    </row>
    <row r="119" spans="2:13" ht="27" customHeight="1">
      <c r="B119" s="261"/>
      <c r="C119" s="235" t="s">
        <v>1645</v>
      </c>
      <c r="D119" s="266"/>
      <c r="E119" s="266" t="s">
        <v>1638</v>
      </c>
      <c r="F119" s="275">
        <v>-0.80800000000000005</v>
      </c>
      <c r="G119" s="275">
        <v>0</v>
      </c>
      <c r="H119" s="275">
        <v>0</v>
      </c>
      <c r="I119" s="276">
        <v>0</v>
      </c>
      <c r="J119" s="276">
        <v>0</v>
      </c>
      <c r="K119" s="275">
        <v>0</v>
      </c>
      <c r="L119" s="266"/>
      <c r="M119" s="264"/>
    </row>
    <row r="120" spans="2:13" ht="27" customHeight="1">
      <c r="B120" s="261"/>
      <c r="C120" s="235" t="s">
        <v>100</v>
      </c>
      <c r="D120" s="266"/>
      <c r="E120" s="266">
        <v>8</v>
      </c>
      <c r="F120" s="275">
        <v>-0.74099999999999999</v>
      </c>
      <c r="G120" s="275">
        <v>0</v>
      </c>
      <c r="H120" s="275">
        <v>0</v>
      </c>
      <c r="I120" s="276">
        <v>0</v>
      </c>
      <c r="J120" s="276">
        <v>0</v>
      </c>
      <c r="K120" s="275">
        <v>0</v>
      </c>
      <c r="L120" s="266"/>
      <c r="M120" s="264"/>
    </row>
    <row r="121" spans="2:13" ht="27" customHeight="1">
      <c r="B121" s="261"/>
      <c r="C121" s="235" t="s">
        <v>101</v>
      </c>
      <c r="D121" s="266"/>
      <c r="E121" s="266"/>
      <c r="F121" s="275">
        <v>-0.80800000000000005</v>
      </c>
      <c r="G121" s="275">
        <v>0</v>
      </c>
      <c r="H121" s="275">
        <v>0</v>
      </c>
      <c r="I121" s="276">
        <v>0</v>
      </c>
      <c r="J121" s="276">
        <v>0</v>
      </c>
      <c r="K121" s="275">
        <v>0.26400000000000001</v>
      </c>
      <c r="L121" s="266"/>
      <c r="M121" s="264"/>
    </row>
    <row r="122" spans="2:13" ht="27" customHeight="1">
      <c r="B122" s="261"/>
      <c r="C122" s="235" t="s">
        <v>102</v>
      </c>
      <c r="D122" s="266"/>
      <c r="E122" s="266"/>
      <c r="F122" s="275">
        <v>-6.508</v>
      </c>
      <c r="G122" s="275">
        <v>-0.64</v>
      </c>
      <c r="H122" s="275">
        <v>-9.8000000000000004E-2</v>
      </c>
      <c r="I122" s="276">
        <v>0</v>
      </c>
      <c r="J122" s="276">
        <v>0</v>
      </c>
      <c r="K122" s="275">
        <v>0.26400000000000001</v>
      </c>
      <c r="L122" s="266"/>
      <c r="M122" s="264"/>
    </row>
    <row r="123" spans="2:13" ht="27" customHeight="1">
      <c r="B123" s="261"/>
      <c r="C123" s="235" t="s">
        <v>103</v>
      </c>
      <c r="D123" s="266"/>
      <c r="E123" s="266"/>
      <c r="F123" s="275">
        <v>-0.74099999999999999</v>
      </c>
      <c r="G123" s="275">
        <v>0</v>
      </c>
      <c r="H123" s="275">
        <v>0</v>
      </c>
      <c r="I123" s="276">
        <v>0</v>
      </c>
      <c r="J123" s="276">
        <v>0</v>
      </c>
      <c r="K123" s="275">
        <v>0.23100000000000001</v>
      </c>
      <c r="L123" s="266"/>
      <c r="M123" s="264"/>
    </row>
    <row r="124" spans="2:13" ht="27" customHeight="1">
      <c r="B124" s="261"/>
      <c r="C124" s="235" t="s">
        <v>104</v>
      </c>
      <c r="D124" s="266"/>
      <c r="E124" s="266"/>
      <c r="F124" s="275">
        <v>-5.9850000000000003</v>
      </c>
      <c r="G124" s="275">
        <v>-0.58299999999999996</v>
      </c>
      <c r="H124" s="275">
        <v>-0.09</v>
      </c>
      <c r="I124" s="276">
        <v>0</v>
      </c>
      <c r="J124" s="276">
        <v>0</v>
      </c>
      <c r="K124" s="275">
        <v>0.23100000000000001</v>
      </c>
      <c r="L124" s="266"/>
      <c r="M124" s="264"/>
    </row>
    <row r="125" spans="2:13" ht="27" customHeight="1">
      <c r="B125" s="261"/>
      <c r="C125" s="235" t="s">
        <v>112</v>
      </c>
      <c r="D125" s="266"/>
      <c r="E125" s="266"/>
      <c r="F125" s="275">
        <v>-0.51400000000000001</v>
      </c>
      <c r="G125" s="275">
        <v>0</v>
      </c>
      <c r="H125" s="275">
        <v>0</v>
      </c>
      <c r="I125" s="276">
        <v>39.39</v>
      </c>
      <c r="J125" s="276">
        <v>0</v>
      </c>
      <c r="K125" s="275">
        <v>0.189</v>
      </c>
      <c r="L125" s="266"/>
      <c r="M125" s="264"/>
    </row>
    <row r="126" spans="2:13" ht="27" customHeight="1">
      <c r="B126" s="261"/>
      <c r="C126" s="235" t="s">
        <v>113</v>
      </c>
      <c r="D126" s="266"/>
      <c r="E126" s="266"/>
      <c r="F126" s="275">
        <v>-4.2300000000000004</v>
      </c>
      <c r="G126" s="275">
        <v>-0.38800000000000001</v>
      </c>
      <c r="H126" s="275">
        <v>-6.4000000000000001E-2</v>
      </c>
      <c r="I126" s="276">
        <v>39.39</v>
      </c>
      <c r="J126" s="276">
        <v>0</v>
      </c>
      <c r="K126" s="275">
        <v>0.189</v>
      </c>
      <c r="L126" s="266"/>
      <c r="M126" s="264"/>
    </row>
    <row r="127" spans="2:13" ht="27" customHeight="1">
      <c r="B127" s="261"/>
      <c r="C127" s="235" t="s">
        <v>147</v>
      </c>
      <c r="D127" s="266"/>
      <c r="E127" s="266">
        <v>1</v>
      </c>
      <c r="F127" s="275">
        <v>1.9339999999999999</v>
      </c>
      <c r="G127" s="275">
        <v>0</v>
      </c>
      <c r="H127" s="275">
        <v>0</v>
      </c>
      <c r="I127" s="276">
        <v>2.9</v>
      </c>
      <c r="J127" s="276">
        <v>0</v>
      </c>
      <c r="K127" s="275">
        <v>0</v>
      </c>
      <c r="L127" s="266"/>
      <c r="M127" s="264"/>
    </row>
    <row r="128" spans="2:13" ht="27" customHeight="1">
      <c r="B128" s="261"/>
      <c r="C128" s="235" t="s">
        <v>150</v>
      </c>
      <c r="D128" s="266"/>
      <c r="E128" s="266">
        <v>2</v>
      </c>
      <c r="F128" s="275">
        <v>2.097</v>
      </c>
      <c r="G128" s="275">
        <v>0.13</v>
      </c>
      <c r="H128" s="275">
        <v>0</v>
      </c>
      <c r="I128" s="276">
        <v>2.9</v>
      </c>
      <c r="J128" s="276">
        <v>0</v>
      </c>
      <c r="K128" s="275">
        <v>0</v>
      </c>
      <c r="L128" s="266"/>
      <c r="M128" s="264"/>
    </row>
    <row r="129" spans="2:13" ht="27" customHeight="1">
      <c r="B129" s="261"/>
      <c r="C129" s="235" t="s">
        <v>153</v>
      </c>
      <c r="D129" s="266"/>
      <c r="E129" s="266">
        <v>2</v>
      </c>
      <c r="F129" s="275">
        <v>0.19700000000000001</v>
      </c>
      <c r="G129" s="275">
        <v>0</v>
      </c>
      <c r="H129" s="275">
        <v>0</v>
      </c>
      <c r="I129" s="276">
        <v>0</v>
      </c>
      <c r="J129" s="276">
        <v>0</v>
      </c>
      <c r="K129" s="275">
        <v>0</v>
      </c>
      <c r="L129" s="266"/>
      <c r="M129" s="264"/>
    </row>
    <row r="130" spans="2:13" ht="27" customHeight="1">
      <c r="B130" s="261"/>
      <c r="C130" s="235" t="s">
        <v>156</v>
      </c>
      <c r="D130" s="266"/>
      <c r="E130" s="266">
        <v>3</v>
      </c>
      <c r="F130" s="275">
        <v>1.5209999999999999</v>
      </c>
      <c r="G130" s="275">
        <v>0</v>
      </c>
      <c r="H130" s="275">
        <v>0</v>
      </c>
      <c r="I130" s="276">
        <v>4.8600000000000003</v>
      </c>
      <c r="J130" s="276">
        <v>0</v>
      </c>
      <c r="K130" s="275">
        <v>0</v>
      </c>
      <c r="L130" s="266"/>
      <c r="M130" s="264"/>
    </row>
    <row r="131" spans="2:13" ht="27" customHeight="1">
      <c r="B131" s="261"/>
      <c r="C131" s="235" t="s">
        <v>159</v>
      </c>
      <c r="D131" s="266"/>
      <c r="E131" s="266">
        <v>4</v>
      </c>
      <c r="F131" s="275">
        <v>1.96</v>
      </c>
      <c r="G131" s="275">
        <v>0.16800000000000001</v>
      </c>
      <c r="H131" s="275">
        <v>0</v>
      </c>
      <c r="I131" s="276">
        <v>4.8600000000000003</v>
      </c>
      <c r="J131" s="276">
        <v>0</v>
      </c>
      <c r="K131" s="275">
        <v>0</v>
      </c>
      <c r="L131" s="266"/>
      <c r="M131" s="264"/>
    </row>
    <row r="132" spans="2:13" ht="27" customHeight="1">
      <c r="B132" s="261"/>
      <c r="C132" s="235" t="s">
        <v>162</v>
      </c>
      <c r="D132" s="266"/>
      <c r="E132" s="266">
        <v>4</v>
      </c>
      <c r="F132" s="275">
        <v>0.20399999999999999</v>
      </c>
      <c r="G132" s="275">
        <v>0</v>
      </c>
      <c r="H132" s="275">
        <v>0</v>
      </c>
      <c r="I132" s="276">
        <v>0</v>
      </c>
      <c r="J132" s="276">
        <v>0</v>
      </c>
      <c r="K132" s="275">
        <v>0</v>
      </c>
      <c r="L132" s="266"/>
      <c r="M132" s="264"/>
    </row>
    <row r="133" spans="2:13" ht="27" customHeight="1">
      <c r="B133" s="261"/>
      <c r="C133" s="235" t="s">
        <v>165</v>
      </c>
      <c r="D133" s="266"/>
      <c r="E133" s="266" t="s">
        <v>1247</v>
      </c>
      <c r="F133" s="275">
        <v>1.8280000000000001</v>
      </c>
      <c r="G133" s="275">
        <v>0.10100000000000001</v>
      </c>
      <c r="H133" s="275">
        <v>0</v>
      </c>
      <c r="I133" s="276">
        <v>28.29</v>
      </c>
      <c r="J133" s="276">
        <v>0</v>
      </c>
      <c r="K133" s="275">
        <v>0</v>
      </c>
      <c r="L133" s="266"/>
      <c r="M133" s="264"/>
    </row>
    <row r="134" spans="2:13" ht="27" customHeight="1">
      <c r="B134" s="261"/>
      <c r="C134" s="235" t="s">
        <v>1644</v>
      </c>
      <c r="D134" s="266"/>
      <c r="E134" s="266"/>
      <c r="F134" s="275">
        <v>11.574</v>
      </c>
      <c r="G134" s="275">
        <v>1.1519999999999999</v>
      </c>
      <c r="H134" s="275">
        <v>0.10299999999999999</v>
      </c>
      <c r="I134" s="276">
        <v>2.9</v>
      </c>
      <c r="J134" s="276">
        <v>0</v>
      </c>
      <c r="K134" s="275">
        <v>0</v>
      </c>
      <c r="L134" s="266"/>
      <c r="M134" s="264"/>
    </row>
    <row r="135" spans="2:13" ht="27" customHeight="1">
      <c r="B135" s="261"/>
      <c r="C135" s="235" t="s">
        <v>1643</v>
      </c>
      <c r="D135" s="266"/>
      <c r="E135" s="266"/>
      <c r="F135" s="275">
        <v>11.582000000000001</v>
      </c>
      <c r="G135" s="275">
        <v>1.151</v>
      </c>
      <c r="H135" s="275">
        <v>0.10299999999999999</v>
      </c>
      <c r="I135" s="276">
        <v>4.8600000000000003</v>
      </c>
      <c r="J135" s="276">
        <v>0</v>
      </c>
      <c r="K135" s="275">
        <v>0</v>
      </c>
      <c r="L135" s="266"/>
      <c r="M135" s="264"/>
    </row>
    <row r="136" spans="2:13" ht="27" customHeight="1">
      <c r="B136" s="261"/>
      <c r="C136" s="235" t="s">
        <v>170</v>
      </c>
      <c r="D136" s="266"/>
      <c r="E136" s="266"/>
      <c r="F136" s="275">
        <v>8.9659999999999993</v>
      </c>
      <c r="G136" s="275">
        <v>0.88400000000000001</v>
      </c>
      <c r="H136" s="275">
        <v>7.5999999999999998E-2</v>
      </c>
      <c r="I136" s="276">
        <v>7.27</v>
      </c>
      <c r="J136" s="276">
        <v>1.89</v>
      </c>
      <c r="K136" s="275">
        <v>0.316</v>
      </c>
      <c r="L136" s="266"/>
      <c r="M136" s="264"/>
    </row>
    <row r="137" spans="2:13" ht="27" customHeight="1">
      <c r="B137" s="261"/>
      <c r="C137" s="235" t="s">
        <v>177</v>
      </c>
      <c r="D137" s="266"/>
      <c r="E137" s="266">
        <v>8</v>
      </c>
      <c r="F137" s="275">
        <v>1.635</v>
      </c>
      <c r="G137" s="275">
        <v>0</v>
      </c>
      <c r="H137" s="275">
        <v>0</v>
      </c>
      <c r="I137" s="276">
        <v>0</v>
      </c>
      <c r="J137" s="276">
        <v>0</v>
      </c>
      <c r="K137" s="275">
        <v>0</v>
      </c>
      <c r="L137" s="266"/>
      <c r="M137" s="264"/>
    </row>
    <row r="138" spans="2:13" ht="27" customHeight="1">
      <c r="B138" s="261"/>
      <c r="C138" s="235" t="s">
        <v>180</v>
      </c>
      <c r="D138" s="266"/>
      <c r="E138" s="266">
        <v>1</v>
      </c>
      <c r="F138" s="275">
        <v>1.851</v>
      </c>
      <c r="G138" s="275">
        <v>0</v>
      </c>
      <c r="H138" s="275">
        <v>0</v>
      </c>
      <c r="I138" s="276">
        <v>0</v>
      </c>
      <c r="J138" s="276">
        <v>0</v>
      </c>
      <c r="K138" s="275">
        <v>0</v>
      </c>
      <c r="L138" s="266"/>
      <c r="M138" s="264"/>
    </row>
    <row r="139" spans="2:13" ht="27" customHeight="1">
      <c r="B139" s="261"/>
      <c r="C139" s="235" t="s">
        <v>183</v>
      </c>
      <c r="D139" s="266"/>
      <c r="E139" s="266">
        <v>1</v>
      </c>
      <c r="F139" s="275">
        <v>2.7629999999999999</v>
      </c>
      <c r="G139" s="275">
        <v>0</v>
      </c>
      <c r="H139" s="275">
        <v>0</v>
      </c>
      <c r="I139" s="276">
        <v>0</v>
      </c>
      <c r="J139" s="276">
        <v>0</v>
      </c>
      <c r="K139" s="275">
        <v>0</v>
      </c>
      <c r="L139" s="266"/>
      <c r="M139" s="264"/>
    </row>
    <row r="140" spans="2:13" ht="27" customHeight="1">
      <c r="B140" s="261"/>
      <c r="C140" s="235" t="s">
        <v>186</v>
      </c>
      <c r="D140" s="266"/>
      <c r="E140" s="266">
        <v>1</v>
      </c>
      <c r="F140" s="275">
        <v>1.448</v>
      </c>
      <c r="G140" s="275">
        <v>0</v>
      </c>
      <c r="H140" s="275">
        <v>0</v>
      </c>
      <c r="I140" s="276">
        <v>0</v>
      </c>
      <c r="J140" s="276">
        <v>0</v>
      </c>
      <c r="K140" s="275">
        <v>0</v>
      </c>
      <c r="L140" s="266"/>
      <c r="M140" s="264"/>
    </row>
    <row r="141" spans="2:13" ht="27" customHeight="1">
      <c r="B141" s="261"/>
      <c r="C141" s="235" t="s">
        <v>189</v>
      </c>
      <c r="D141" s="266"/>
      <c r="E141" s="266"/>
      <c r="F141" s="275">
        <v>24.768999999999998</v>
      </c>
      <c r="G141" s="275">
        <v>1.6379999999999999</v>
      </c>
      <c r="H141" s="275">
        <v>0.60499999999999998</v>
      </c>
      <c r="I141" s="276">
        <v>0</v>
      </c>
      <c r="J141" s="276">
        <v>0</v>
      </c>
      <c r="K141" s="275">
        <v>0</v>
      </c>
      <c r="L141" s="266"/>
      <c r="M141" s="264"/>
    </row>
    <row r="142" spans="2:13" ht="27" customHeight="1">
      <c r="B142" s="261"/>
      <c r="C142" s="235" t="s">
        <v>1642</v>
      </c>
      <c r="D142" s="266"/>
      <c r="E142" s="266" t="s">
        <v>1638</v>
      </c>
      <c r="F142" s="275">
        <v>-0.80800000000000005</v>
      </c>
      <c r="G142" s="275">
        <v>0</v>
      </c>
      <c r="H142" s="275">
        <v>0</v>
      </c>
      <c r="I142" s="276">
        <v>0</v>
      </c>
      <c r="J142" s="276">
        <v>0</v>
      </c>
      <c r="K142" s="275">
        <v>0</v>
      </c>
      <c r="L142" s="266"/>
      <c r="M142" s="264"/>
    </row>
    <row r="143" spans="2:13" ht="27" customHeight="1">
      <c r="B143" s="261"/>
      <c r="C143" s="235" t="s">
        <v>194</v>
      </c>
      <c r="D143" s="266"/>
      <c r="E143" s="266"/>
      <c r="F143" s="275">
        <v>-0.80800000000000005</v>
      </c>
      <c r="G143" s="275">
        <v>0</v>
      </c>
      <c r="H143" s="275">
        <v>0</v>
      </c>
      <c r="I143" s="276">
        <v>0</v>
      </c>
      <c r="J143" s="276">
        <v>0</v>
      </c>
      <c r="K143" s="275">
        <v>0.26400000000000001</v>
      </c>
      <c r="L143" s="266"/>
      <c r="M143" s="264"/>
    </row>
    <row r="144" spans="2:13" ht="27" customHeight="1">
      <c r="B144" s="261"/>
      <c r="C144" s="235" t="s">
        <v>197</v>
      </c>
      <c r="D144" s="266"/>
      <c r="E144" s="266"/>
      <c r="F144" s="275">
        <v>-6.508</v>
      </c>
      <c r="G144" s="275">
        <v>-0.64</v>
      </c>
      <c r="H144" s="275">
        <v>-9.8000000000000004E-2</v>
      </c>
      <c r="I144" s="276">
        <v>0</v>
      </c>
      <c r="J144" s="276">
        <v>0</v>
      </c>
      <c r="K144" s="275">
        <v>0.26400000000000001</v>
      </c>
      <c r="L144" s="266"/>
      <c r="M144" s="264"/>
    </row>
    <row r="145" spans="2:13" ht="27" customHeight="1">
      <c r="B145" s="261"/>
      <c r="C145" s="235" t="s">
        <v>148</v>
      </c>
      <c r="D145" s="266"/>
      <c r="E145" s="266">
        <v>1</v>
      </c>
      <c r="F145" s="275">
        <v>1.028</v>
      </c>
      <c r="G145" s="275">
        <v>0</v>
      </c>
      <c r="H145" s="275">
        <v>0</v>
      </c>
      <c r="I145" s="276">
        <v>1.54</v>
      </c>
      <c r="J145" s="276">
        <v>0</v>
      </c>
      <c r="K145" s="275">
        <v>0</v>
      </c>
      <c r="L145" s="266"/>
      <c r="M145" s="264"/>
    </row>
    <row r="146" spans="2:13" ht="27" customHeight="1">
      <c r="B146" s="261"/>
      <c r="C146" s="235" t="s">
        <v>151</v>
      </c>
      <c r="D146" s="266"/>
      <c r="E146" s="266">
        <v>2</v>
      </c>
      <c r="F146" s="275">
        <v>1.1140000000000001</v>
      </c>
      <c r="G146" s="275">
        <v>6.9000000000000006E-2</v>
      </c>
      <c r="H146" s="275">
        <v>0</v>
      </c>
      <c r="I146" s="276">
        <v>1.54</v>
      </c>
      <c r="J146" s="276">
        <v>0</v>
      </c>
      <c r="K146" s="275">
        <v>0</v>
      </c>
      <c r="L146" s="266"/>
      <c r="M146" s="264"/>
    </row>
    <row r="147" spans="2:13" ht="27" customHeight="1">
      <c r="B147" s="261"/>
      <c r="C147" s="235" t="s">
        <v>154</v>
      </c>
      <c r="D147" s="266"/>
      <c r="E147" s="266">
        <v>2</v>
      </c>
      <c r="F147" s="275">
        <v>0.105</v>
      </c>
      <c r="G147" s="275">
        <v>0</v>
      </c>
      <c r="H147" s="275">
        <v>0</v>
      </c>
      <c r="I147" s="276">
        <v>0</v>
      </c>
      <c r="J147" s="276">
        <v>0</v>
      </c>
      <c r="K147" s="275">
        <v>0</v>
      </c>
      <c r="L147" s="266"/>
      <c r="M147" s="264"/>
    </row>
    <row r="148" spans="2:13" ht="27" customHeight="1">
      <c r="B148" s="261"/>
      <c r="C148" s="235" t="s">
        <v>157</v>
      </c>
      <c r="D148" s="266"/>
      <c r="E148" s="266">
        <v>3</v>
      </c>
      <c r="F148" s="275">
        <v>0.80800000000000005</v>
      </c>
      <c r="G148" s="275">
        <v>0</v>
      </c>
      <c r="H148" s="275">
        <v>0</v>
      </c>
      <c r="I148" s="276">
        <v>2.58</v>
      </c>
      <c r="J148" s="276">
        <v>0</v>
      </c>
      <c r="K148" s="275">
        <v>0</v>
      </c>
      <c r="L148" s="266"/>
      <c r="M148" s="264"/>
    </row>
    <row r="149" spans="2:13" ht="27" customHeight="1">
      <c r="B149" s="261"/>
      <c r="C149" s="235" t="s">
        <v>160</v>
      </c>
      <c r="D149" s="266"/>
      <c r="E149" s="266">
        <v>4</v>
      </c>
      <c r="F149" s="275">
        <v>1.042</v>
      </c>
      <c r="G149" s="275">
        <v>8.8999999999999996E-2</v>
      </c>
      <c r="H149" s="275">
        <v>0</v>
      </c>
      <c r="I149" s="276">
        <v>2.58</v>
      </c>
      <c r="J149" s="276">
        <v>0</v>
      </c>
      <c r="K149" s="275">
        <v>0</v>
      </c>
      <c r="L149" s="266"/>
      <c r="M149" s="264"/>
    </row>
    <row r="150" spans="2:13" ht="27" customHeight="1">
      <c r="B150" s="261"/>
      <c r="C150" s="235" t="s">
        <v>163</v>
      </c>
      <c r="D150" s="266"/>
      <c r="E150" s="266">
        <v>4</v>
      </c>
      <c r="F150" s="275">
        <v>0.108</v>
      </c>
      <c r="G150" s="275">
        <v>0</v>
      </c>
      <c r="H150" s="275">
        <v>0</v>
      </c>
      <c r="I150" s="276">
        <v>0</v>
      </c>
      <c r="J150" s="276">
        <v>0</v>
      </c>
      <c r="K150" s="275">
        <v>0</v>
      </c>
      <c r="L150" s="266"/>
      <c r="M150" s="264"/>
    </row>
    <row r="151" spans="2:13" ht="27" customHeight="1">
      <c r="B151" s="261"/>
      <c r="C151" s="235" t="s">
        <v>166</v>
      </c>
      <c r="D151" s="266"/>
      <c r="E151" s="266" t="s">
        <v>1247</v>
      </c>
      <c r="F151" s="275">
        <v>0.97099999999999997</v>
      </c>
      <c r="G151" s="275">
        <v>5.3999999999999999E-2</v>
      </c>
      <c r="H151" s="275">
        <v>0</v>
      </c>
      <c r="I151" s="276">
        <v>15.03</v>
      </c>
      <c r="J151" s="276">
        <v>0</v>
      </c>
      <c r="K151" s="275">
        <v>0</v>
      </c>
      <c r="L151" s="266"/>
      <c r="M151" s="264"/>
    </row>
    <row r="152" spans="2:13" ht="27" customHeight="1">
      <c r="B152" s="261"/>
      <c r="C152" s="235" t="s">
        <v>1641</v>
      </c>
      <c r="D152" s="266"/>
      <c r="E152" s="266"/>
      <c r="F152" s="275">
        <v>6.15</v>
      </c>
      <c r="G152" s="275">
        <v>0.61199999999999999</v>
      </c>
      <c r="H152" s="275">
        <v>5.5E-2</v>
      </c>
      <c r="I152" s="276">
        <v>1.54</v>
      </c>
      <c r="J152" s="276">
        <v>0</v>
      </c>
      <c r="K152" s="275">
        <v>0</v>
      </c>
      <c r="L152" s="266"/>
      <c r="M152" s="264"/>
    </row>
    <row r="153" spans="2:13" ht="27" customHeight="1">
      <c r="B153" s="261"/>
      <c r="C153" s="235" t="s">
        <v>1640</v>
      </c>
      <c r="D153" s="266"/>
      <c r="E153" s="266"/>
      <c r="F153" s="275">
        <v>6.1539999999999999</v>
      </c>
      <c r="G153" s="275">
        <v>0.61199999999999999</v>
      </c>
      <c r="H153" s="275">
        <v>5.5E-2</v>
      </c>
      <c r="I153" s="276">
        <v>2.58</v>
      </c>
      <c r="J153" s="276">
        <v>0</v>
      </c>
      <c r="K153" s="275">
        <v>0</v>
      </c>
      <c r="L153" s="266"/>
      <c r="M153" s="264"/>
    </row>
    <row r="154" spans="2:13" ht="27" customHeight="1">
      <c r="B154" s="261"/>
      <c r="C154" s="235" t="s">
        <v>171</v>
      </c>
      <c r="D154" s="266"/>
      <c r="E154" s="266"/>
      <c r="F154" s="275">
        <v>4.7649999999999997</v>
      </c>
      <c r="G154" s="275">
        <v>0.47</v>
      </c>
      <c r="H154" s="275">
        <v>0.04</v>
      </c>
      <c r="I154" s="276">
        <v>3.86</v>
      </c>
      <c r="J154" s="276">
        <v>1.01</v>
      </c>
      <c r="K154" s="275">
        <v>0.16800000000000001</v>
      </c>
      <c r="L154" s="266"/>
      <c r="M154" s="264"/>
    </row>
    <row r="155" spans="2:13" ht="27" customHeight="1">
      <c r="B155" s="261"/>
      <c r="C155" s="235" t="s">
        <v>173</v>
      </c>
      <c r="D155" s="266"/>
      <c r="E155" s="266"/>
      <c r="F155" s="275">
        <v>5.7450000000000001</v>
      </c>
      <c r="G155" s="275">
        <v>0.55700000000000005</v>
      </c>
      <c r="H155" s="275">
        <v>4.4999999999999998E-2</v>
      </c>
      <c r="I155" s="276">
        <v>4.5</v>
      </c>
      <c r="J155" s="276">
        <v>1.72</v>
      </c>
      <c r="K155" s="275">
        <v>0.222</v>
      </c>
      <c r="L155" s="266"/>
      <c r="M155" s="264"/>
    </row>
    <row r="156" spans="2:13" ht="27" customHeight="1">
      <c r="B156" s="261"/>
      <c r="C156" s="235" t="s">
        <v>175</v>
      </c>
      <c r="D156" s="266"/>
      <c r="E156" s="266"/>
      <c r="F156" s="275">
        <v>6.407</v>
      </c>
      <c r="G156" s="275">
        <v>0.61899999999999999</v>
      </c>
      <c r="H156" s="275">
        <v>4.4999999999999998E-2</v>
      </c>
      <c r="I156" s="276">
        <v>53.56</v>
      </c>
      <c r="J156" s="276">
        <v>2.13</v>
      </c>
      <c r="K156" s="275">
        <v>0.21099999999999999</v>
      </c>
      <c r="L156" s="266"/>
      <c r="M156" s="264"/>
    </row>
    <row r="157" spans="2:13" ht="27" customHeight="1">
      <c r="B157" s="261"/>
      <c r="C157" s="235" t="s">
        <v>178</v>
      </c>
      <c r="D157" s="266"/>
      <c r="E157" s="266">
        <v>8</v>
      </c>
      <c r="F157" s="275">
        <v>0.86899999999999999</v>
      </c>
      <c r="G157" s="275">
        <v>0</v>
      </c>
      <c r="H157" s="275">
        <v>0</v>
      </c>
      <c r="I157" s="276">
        <v>0</v>
      </c>
      <c r="J157" s="276">
        <v>0</v>
      </c>
      <c r="K157" s="275">
        <v>0</v>
      </c>
      <c r="L157" s="266"/>
      <c r="M157" s="264"/>
    </row>
    <row r="158" spans="2:13" ht="27" customHeight="1">
      <c r="B158" s="261"/>
      <c r="C158" s="235" t="s">
        <v>181</v>
      </c>
      <c r="D158" s="266"/>
      <c r="E158" s="266">
        <v>1</v>
      </c>
      <c r="F158" s="275">
        <v>0.98299999999999998</v>
      </c>
      <c r="G158" s="275">
        <v>0</v>
      </c>
      <c r="H158" s="275">
        <v>0</v>
      </c>
      <c r="I158" s="276">
        <v>0</v>
      </c>
      <c r="J158" s="276">
        <v>0</v>
      </c>
      <c r="K158" s="275">
        <v>0</v>
      </c>
      <c r="L158" s="266"/>
      <c r="M158" s="264"/>
    </row>
    <row r="159" spans="2:13" ht="27" customHeight="1">
      <c r="B159" s="261"/>
      <c r="C159" s="235" t="s">
        <v>184</v>
      </c>
      <c r="D159" s="266"/>
      <c r="E159" s="266">
        <v>1</v>
      </c>
      <c r="F159" s="275">
        <v>1.468</v>
      </c>
      <c r="G159" s="275">
        <v>0</v>
      </c>
      <c r="H159" s="275">
        <v>0</v>
      </c>
      <c r="I159" s="276">
        <v>0</v>
      </c>
      <c r="J159" s="276">
        <v>0</v>
      </c>
      <c r="K159" s="275">
        <v>0</v>
      </c>
      <c r="L159" s="266"/>
      <c r="M159" s="264"/>
    </row>
    <row r="160" spans="2:13" ht="27" customHeight="1">
      <c r="B160" s="261"/>
      <c r="C160" s="235" t="s">
        <v>187</v>
      </c>
      <c r="D160" s="266"/>
      <c r="E160" s="266">
        <v>1</v>
      </c>
      <c r="F160" s="275">
        <v>0.77</v>
      </c>
      <c r="G160" s="275">
        <v>0</v>
      </c>
      <c r="H160" s="275">
        <v>0</v>
      </c>
      <c r="I160" s="276">
        <v>0</v>
      </c>
      <c r="J160" s="276">
        <v>0</v>
      </c>
      <c r="K160" s="275">
        <v>0</v>
      </c>
      <c r="L160" s="266"/>
      <c r="M160" s="264"/>
    </row>
    <row r="161" spans="2:13" ht="27" customHeight="1">
      <c r="B161" s="261"/>
      <c r="C161" s="235" t="s">
        <v>190</v>
      </c>
      <c r="D161" s="266"/>
      <c r="E161" s="266"/>
      <c r="F161" s="275">
        <v>13.162000000000001</v>
      </c>
      <c r="G161" s="275">
        <v>0.87</v>
      </c>
      <c r="H161" s="275">
        <v>0.32100000000000001</v>
      </c>
      <c r="I161" s="276">
        <v>0</v>
      </c>
      <c r="J161" s="276">
        <v>0</v>
      </c>
      <c r="K161" s="275">
        <v>0</v>
      </c>
      <c r="L161" s="266"/>
      <c r="M161" s="264"/>
    </row>
    <row r="162" spans="2:13" ht="27" customHeight="1">
      <c r="B162" s="261"/>
      <c r="C162" s="235" t="s">
        <v>1639</v>
      </c>
      <c r="D162" s="266"/>
      <c r="E162" s="266" t="s">
        <v>1638</v>
      </c>
      <c r="F162" s="275">
        <v>-0.80800000000000005</v>
      </c>
      <c r="G162" s="275">
        <v>0</v>
      </c>
      <c r="H162" s="275">
        <v>0</v>
      </c>
      <c r="I162" s="276">
        <v>0</v>
      </c>
      <c r="J162" s="276">
        <v>0</v>
      </c>
      <c r="K162" s="275">
        <v>0</v>
      </c>
      <c r="L162" s="266"/>
      <c r="M162" s="264"/>
    </row>
    <row r="163" spans="2:13" ht="27" customHeight="1">
      <c r="B163" s="261"/>
      <c r="C163" s="235" t="s">
        <v>192</v>
      </c>
      <c r="D163" s="266"/>
      <c r="E163" s="266">
        <v>8</v>
      </c>
      <c r="F163" s="275">
        <v>-0.74099999999999999</v>
      </c>
      <c r="G163" s="275">
        <v>0</v>
      </c>
      <c r="H163" s="275">
        <v>0</v>
      </c>
      <c r="I163" s="276">
        <v>0</v>
      </c>
      <c r="J163" s="276">
        <v>0</v>
      </c>
      <c r="K163" s="275">
        <v>0</v>
      </c>
      <c r="L163" s="266"/>
      <c r="M163" s="264"/>
    </row>
    <row r="164" spans="2:13" ht="27" customHeight="1">
      <c r="B164" s="261"/>
      <c r="C164" s="235" t="s">
        <v>195</v>
      </c>
      <c r="D164" s="266"/>
      <c r="E164" s="266"/>
      <c r="F164" s="275">
        <v>-0.80800000000000005</v>
      </c>
      <c r="G164" s="275">
        <v>0</v>
      </c>
      <c r="H164" s="275">
        <v>0</v>
      </c>
      <c r="I164" s="276">
        <v>0</v>
      </c>
      <c r="J164" s="276">
        <v>0</v>
      </c>
      <c r="K164" s="275">
        <v>0.26400000000000001</v>
      </c>
      <c r="L164" s="266"/>
      <c r="M164" s="264"/>
    </row>
    <row r="165" spans="2:13" ht="27" customHeight="1">
      <c r="B165" s="261"/>
      <c r="C165" s="235" t="s">
        <v>198</v>
      </c>
      <c r="D165" s="266"/>
      <c r="E165" s="266"/>
      <c r="F165" s="275">
        <v>-6.508</v>
      </c>
      <c r="G165" s="275">
        <v>-0.64</v>
      </c>
      <c r="H165" s="275">
        <v>-9.8000000000000004E-2</v>
      </c>
      <c r="I165" s="276">
        <v>0</v>
      </c>
      <c r="J165" s="276">
        <v>0</v>
      </c>
      <c r="K165" s="275">
        <v>0.26400000000000001</v>
      </c>
      <c r="L165" s="266"/>
      <c r="M165" s="264"/>
    </row>
    <row r="166" spans="2:13" ht="27" customHeight="1">
      <c r="B166" s="261"/>
      <c r="C166" s="235" t="s">
        <v>200</v>
      </c>
      <c r="D166" s="266"/>
      <c r="E166" s="266"/>
      <c r="F166" s="275">
        <v>-0.74099999999999999</v>
      </c>
      <c r="G166" s="275">
        <v>0</v>
      </c>
      <c r="H166" s="275">
        <v>0</v>
      </c>
      <c r="I166" s="276">
        <v>0</v>
      </c>
      <c r="J166" s="276">
        <v>0</v>
      </c>
      <c r="K166" s="275">
        <v>0.23100000000000001</v>
      </c>
      <c r="L166" s="266"/>
      <c r="M166" s="264"/>
    </row>
    <row r="167" spans="2:13" ht="27" customHeight="1">
      <c r="B167" s="261"/>
      <c r="C167" s="235" t="s">
        <v>202</v>
      </c>
      <c r="D167" s="266"/>
      <c r="E167" s="266"/>
      <c r="F167" s="275">
        <v>-5.9850000000000003</v>
      </c>
      <c r="G167" s="275">
        <v>-0.58299999999999996</v>
      </c>
      <c r="H167" s="275">
        <v>-0.09</v>
      </c>
      <c r="I167" s="276">
        <v>0</v>
      </c>
      <c r="J167" s="276">
        <v>0</v>
      </c>
      <c r="K167" s="275">
        <v>0.23100000000000001</v>
      </c>
      <c r="L167" s="266"/>
      <c r="M167" s="264"/>
    </row>
    <row r="168" spans="2:13" ht="27" customHeight="1">
      <c r="B168" s="261"/>
      <c r="C168" s="235" t="s">
        <v>204</v>
      </c>
      <c r="D168" s="266"/>
      <c r="E168" s="266"/>
      <c r="F168" s="275">
        <v>-0.51400000000000001</v>
      </c>
      <c r="G168" s="275">
        <v>0</v>
      </c>
      <c r="H168" s="275">
        <v>0</v>
      </c>
      <c r="I168" s="276">
        <v>0</v>
      </c>
      <c r="J168" s="276">
        <v>0</v>
      </c>
      <c r="K168" s="275">
        <v>0.189</v>
      </c>
      <c r="L168" s="266"/>
      <c r="M168" s="264"/>
    </row>
    <row r="169" spans="2:13" ht="27" customHeight="1">
      <c r="B169" s="261"/>
      <c r="C169" s="235" t="s">
        <v>206</v>
      </c>
      <c r="D169" s="266"/>
      <c r="E169" s="266"/>
      <c r="F169" s="275">
        <v>-4.2300000000000004</v>
      </c>
      <c r="G169" s="275">
        <v>-0.38800000000000001</v>
      </c>
      <c r="H169" s="275">
        <v>-6.4000000000000001E-2</v>
      </c>
      <c r="I169" s="276">
        <v>0</v>
      </c>
      <c r="J169" s="276">
        <v>0</v>
      </c>
      <c r="K169" s="275">
        <v>0.189</v>
      </c>
      <c r="L169" s="266"/>
      <c r="M169" s="264"/>
    </row>
    <row r="170" spans="2:13" ht="27" customHeight="1" thickBot="1">
      <c r="B170" s="267"/>
      <c r="C170" s="268"/>
      <c r="D170" s="268"/>
      <c r="E170" s="268"/>
      <c r="F170" s="268"/>
      <c r="G170" s="268"/>
      <c r="H170" s="268"/>
      <c r="I170" s="268"/>
      <c r="J170" s="268"/>
      <c r="K170" s="268"/>
      <c r="L170" s="268"/>
      <c r="M170" s="269"/>
    </row>
    <row r="171" spans="2:13" ht="27" customHeight="1"/>
    <row r="172" spans="2:13" ht="27" customHeight="1"/>
    <row r="173" spans="2:13" ht="27" customHeight="1" thickBot="1"/>
    <row r="174" spans="2:13" ht="27" customHeight="1">
      <c r="B174" s="257"/>
      <c r="C174" s="258"/>
      <c r="D174" s="259"/>
      <c r="E174" s="259"/>
      <c r="F174" s="259"/>
      <c r="G174" s="259"/>
      <c r="H174" s="259"/>
      <c r="I174" s="259"/>
      <c r="J174" s="259"/>
      <c r="K174" s="259"/>
      <c r="L174" s="259"/>
      <c r="M174" s="260"/>
    </row>
    <row r="175" spans="2:13" ht="27" customHeight="1">
      <c r="B175" s="261"/>
      <c r="C175" s="262" t="str">
        <f>"Tariffs for Charging Year: "&amp; " "&amp;D8&amp;""</f>
        <v>Tariffs for Charging Year:  2017/18</v>
      </c>
      <c r="D175" s="262"/>
      <c r="E175" s="262"/>
      <c r="F175" s="262"/>
      <c r="G175" s="262"/>
      <c r="H175" s="262"/>
      <c r="I175" s="263"/>
      <c r="J175" s="263"/>
      <c r="K175" s="263"/>
      <c r="L175" s="263"/>
      <c r="M175" s="264"/>
    </row>
    <row r="176" spans="2:13" ht="27" customHeight="1">
      <c r="B176" s="261"/>
      <c r="C176" s="247"/>
      <c r="D176" s="263"/>
      <c r="E176" s="263"/>
      <c r="F176" s="263"/>
      <c r="G176" s="263"/>
      <c r="H176" s="263"/>
      <c r="I176" s="263"/>
      <c r="J176" s="263"/>
      <c r="K176" s="263"/>
      <c r="L176" s="263"/>
      <c r="M176" s="264"/>
    </row>
    <row r="177" spans="2:13" ht="27" customHeight="1">
      <c r="B177" s="261"/>
      <c r="C177" s="247"/>
      <c r="D177" s="263"/>
      <c r="E177" s="263"/>
      <c r="F177" s="263"/>
      <c r="G177" s="263"/>
      <c r="H177" s="263"/>
      <c r="I177" s="263"/>
      <c r="J177" s="263"/>
      <c r="K177" s="263"/>
      <c r="L177" s="263"/>
      <c r="M177" s="264"/>
    </row>
    <row r="178" spans="2:13" ht="27" customHeight="1">
      <c r="B178" s="261"/>
      <c r="C178" s="265"/>
      <c r="D178" s="236" t="s">
        <v>1244</v>
      </c>
      <c r="E178" s="236" t="s">
        <v>1245</v>
      </c>
      <c r="F178" s="236" t="s">
        <v>1164</v>
      </c>
      <c r="G178" s="236" t="s">
        <v>1165</v>
      </c>
      <c r="H178" s="236" t="s">
        <v>1166</v>
      </c>
      <c r="I178" s="236" t="s">
        <v>1167</v>
      </c>
      <c r="J178" s="236" t="s">
        <v>1168</v>
      </c>
      <c r="K178" s="236" t="s">
        <v>791</v>
      </c>
      <c r="L178" s="236" t="s">
        <v>1246</v>
      </c>
      <c r="M178" s="264"/>
    </row>
    <row r="179" spans="2:13" ht="27" customHeight="1">
      <c r="B179" s="261"/>
      <c r="C179" s="235" t="s">
        <v>92</v>
      </c>
      <c r="D179" s="266"/>
      <c r="E179" s="266">
        <v>1</v>
      </c>
      <c r="F179" s="275">
        <v>2.8420000000000001</v>
      </c>
      <c r="G179" s="275">
        <v>0</v>
      </c>
      <c r="H179" s="275">
        <v>0</v>
      </c>
      <c r="I179" s="276">
        <v>4.3899999999999997</v>
      </c>
      <c r="J179" s="276">
        <v>0</v>
      </c>
      <c r="K179" s="275">
        <v>0</v>
      </c>
      <c r="L179" s="266"/>
      <c r="M179" s="264"/>
    </row>
    <row r="180" spans="2:13" ht="27" customHeight="1">
      <c r="B180" s="261"/>
      <c r="C180" s="235" t="s">
        <v>93</v>
      </c>
      <c r="D180" s="266"/>
      <c r="E180" s="266">
        <v>2</v>
      </c>
      <c r="F180" s="275">
        <v>3.0790000000000002</v>
      </c>
      <c r="G180" s="275">
        <v>0.19500000000000001</v>
      </c>
      <c r="H180" s="275">
        <v>0</v>
      </c>
      <c r="I180" s="276">
        <v>4.3899999999999997</v>
      </c>
      <c r="J180" s="276">
        <v>0</v>
      </c>
      <c r="K180" s="275">
        <v>0</v>
      </c>
      <c r="L180" s="266"/>
      <c r="M180" s="264"/>
    </row>
    <row r="181" spans="2:13" ht="27" customHeight="1">
      <c r="B181" s="261"/>
      <c r="C181" s="235" t="s">
        <v>129</v>
      </c>
      <c r="D181" s="266"/>
      <c r="E181" s="266">
        <v>2</v>
      </c>
      <c r="F181" s="275">
        <v>0.29199999999999998</v>
      </c>
      <c r="G181" s="275">
        <v>0</v>
      </c>
      <c r="H181" s="275">
        <v>0</v>
      </c>
      <c r="I181" s="276">
        <v>0</v>
      </c>
      <c r="J181" s="276">
        <v>0</v>
      </c>
      <c r="K181" s="275">
        <v>0</v>
      </c>
      <c r="L181" s="266"/>
      <c r="M181" s="264"/>
    </row>
    <row r="182" spans="2:13" ht="27" customHeight="1">
      <c r="B182" s="261"/>
      <c r="C182" s="235" t="s">
        <v>94</v>
      </c>
      <c r="D182" s="266"/>
      <c r="E182" s="266">
        <v>3</v>
      </c>
      <c r="F182" s="275">
        <v>2.2349999999999999</v>
      </c>
      <c r="G182" s="275">
        <v>0</v>
      </c>
      <c r="H182" s="275">
        <v>0</v>
      </c>
      <c r="I182" s="276">
        <v>7.38</v>
      </c>
      <c r="J182" s="276">
        <v>0</v>
      </c>
      <c r="K182" s="275">
        <v>0</v>
      </c>
      <c r="L182" s="266"/>
      <c r="M182" s="264"/>
    </row>
    <row r="183" spans="2:13" ht="27" customHeight="1">
      <c r="B183" s="261"/>
      <c r="C183" s="235" t="s">
        <v>95</v>
      </c>
      <c r="D183" s="266"/>
      <c r="E183" s="266">
        <v>4</v>
      </c>
      <c r="F183" s="275">
        <v>2.8780000000000001</v>
      </c>
      <c r="G183" s="275">
        <v>0.251</v>
      </c>
      <c r="H183" s="275">
        <v>0</v>
      </c>
      <c r="I183" s="276">
        <v>7.38</v>
      </c>
      <c r="J183" s="276">
        <v>0</v>
      </c>
      <c r="K183" s="275">
        <v>0</v>
      </c>
      <c r="L183" s="266"/>
      <c r="M183" s="264"/>
    </row>
    <row r="184" spans="2:13" ht="27" customHeight="1">
      <c r="B184" s="261"/>
      <c r="C184" s="235" t="s">
        <v>130</v>
      </c>
      <c r="D184" s="266"/>
      <c r="E184" s="266">
        <v>4</v>
      </c>
      <c r="F184" s="275">
        <v>0.30199999999999999</v>
      </c>
      <c r="G184" s="275">
        <v>0</v>
      </c>
      <c r="H184" s="275">
        <v>0</v>
      </c>
      <c r="I184" s="276">
        <v>0</v>
      </c>
      <c r="J184" s="276">
        <v>0</v>
      </c>
      <c r="K184" s="275">
        <v>0</v>
      </c>
      <c r="L184" s="266"/>
      <c r="M184" s="264"/>
    </row>
    <row r="185" spans="2:13" ht="27" customHeight="1">
      <c r="B185" s="261"/>
      <c r="C185" s="235" t="s">
        <v>96</v>
      </c>
      <c r="D185" s="266"/>
      <c r="E185" s="266" t="s">
        <v>1247</v>
      </c>
      <c r="F185" s="275">
        <v>2.6840000000000002</v>
      </c>
      <c r="G185" s="275">
        <v>0.152</v>
      </c>
      <c r="H185" s="275">
        <v>0</v>
      </c>
      <c r="I185" s="276">
        <v>42.92</v>
      </c>
      <c r="J185" s="276">
        <v>0</v>
      </c>
      <c r="K185" s="275">
        <v>0</v>
      </c>
      <c r="L185" s="266"/>
      <c r="M185" s="264"/>
    </row>
    <row r="186" spans="2:13" ht="27" customHeight="1">
      <c r="B186" s="261"/>
      <c r="C186" s="235" t="s">
        <v>97</v>
      </c>
      <c r="D186" s="266"/>
      <c r="E186" s="266" t="s">
        <v>1247</v>
      </c>
      <c r="F186" s="275">
        <v>2.5670000000000002</v>
      </c>
      <c r="G186" s="275">
        <v>0.14099999999999999</v>
      </c>
      <c r="H186" s="275">
        <v>0</v>
      </c>
      <c r="I186" s="276">
        <v>30.99</v>
      </c>
      <c r="J186" s="276">
        <v>0</v>
      </c>
      <c r="K186" s="275">
        <v>0</v>
      </c>
      <c r="L186" s="266"/>
      <c r="M186" s="264"/>
    </row>
    <row r="187" spans="2:13" ht="27" customHeight="1">
      <c r="B187" s="261"/>
      <c r="C187" s="235" t="s">
        <v>110</v>
      </c>
      <c r="D187" s="266"/>
      <c r="E187" s="266" t="s">
        <v>1247</v>
      </c>
      <c r="F187" s="275">
        <v>1.871</v>
      </c>
      <c r="G187" s="275">
        <v>8.5999999999999993E-2</v>
      </c>
      <c r="H187" s="275">
        <v>0</v>
      </c>
      <c r="I187" s="276">
        <v>160.38999999999999</v>
      </c>
      <c r="J187" s="276">
        <v>0</v>
      </c>
      <c r="K187" s="275">
        <v>0</v>
      </c>
      <c r="L187" s="266"/>
      <c r="M187" s="264"/>
    </row>
    <row r="188" spans="2:13" ht="27" customHeight="1">
      <c r="B188" s="261"/>
      <c r="C188" s="235" t="s">
        <v>1647</v>
      </c>
      <c r="D188" s="266"/>
      <c r="E188" s="266"/>
      <c r="F188" s="275">
        <v>16.998000000000001</v>
      </c>
      <c r="G188" s="275">
        <v>1.69</v>
      </c>
      <c r="H188" s="275">
        <v>0.156</v>
      </c>
      <c r="I188" s="276">
        <v>4.3899999999999997</v>
      </c>
      <c r="J188" s="276">
        <v>0</v>
      </c>
      <c r="K188" s="275">
        <v>0</v>
      </c>
      <c r="L188" s="266"/>
      <c r="M188" s="264"/>
    </row>
    <row r="189" spans="2:13" ht="27" customHeight="1">
      <c r="B189" s="261"/>
      <c r="C189" s="235" t="s">
        <v>1646</v>
      </c>
      <c r="D189" s="266"/>
      <c r="E189" s="266"/>
      <c r="F189" s="275">
        <v>17.007999999999999</v>
      </c>
      <c r="G189" s="275">
        <v>1.69</v>
      </c>
      <c r="H189" s="275">
        <v>0.156</v>
      </c>
      <c r="I189" s="276">
        <v>7.38</v>
      </c>
      <c r="J189" s="276">
        <v>0</v>
      </c>
      <c r="K189" s="275">
        <v>0</v>
      </c>
      <c r="L189" s="266"/>
      <c r="M189" s="264"/>
    </row>
    <row r="190" spans="2:13" ht="27" customHeight="1">
      <c r="B190" s="261"/>
      <c r="C190" s="235" t="s">
        <v>98</v>
      </c>
      <c r="D190" s="266"/>
      <c r="E190" s="266"/>
      <c r="F190" s="275">
        <v>13.135999999999999</v>
      </c>
      <c r="G190" s="275">
        <v>1.2949999999999999</v>
      </c>
      <c r="H190" s="275">
        <v>0.115</v>
      </c>
      <c r="I190" s="276">
        <v>11.04</v>
      </c>
      <c r="J190" s="276">
        <v>2.87</v>
      </c>
      <c r="K190" s="275">
        <v>0.46400000000000002</v>
      </c>
      <c r="L190" s="266"/>
      <c r="M190" s="264"/>
    </row>
    <row r="191" spans="2:13" ht="27" customHeight="1">
      <c r="B191" s="261"/>
      <c r="C191" s="235" t="s">
        <v>99</v>
      </c>
      <c r="D191" s="266"/>
      <c r="E191" s="266"/>
      <c r="F191" s="275">
        <v>10.436</v>
      </c>
      <c r="G191" s="275">
        <v>1.012</v>
      </c>
      <c r="H191" s="275">
        <v>8.4000000000000005E-2</v>
      </c>
      <c r="I191" s="276">
        <v>8.5</v>
      </c>
      <c r="J191" s="276">
        <v>3.24</v>
      </c>
      <c r="K191" s="275">
        <v>0.40500000000000003</v>
      </c>
      <c r="L191" s="266"/>
      <c r="M191" s="264"/>
    </row>
    <row r="192" spans="2:13" ht="27" customHeight="1">
      <c r="B192" s="261"/>
      <c r="C192" s="235" t="s">
        <v>111</v>
      </c>
      <c r="D192" s="266"/>
      <c r="E192" s="266"/>
      <c r="F192" s="275">
        <v>9.6679999999999993</v>
      </c>
      <c r="G192" s="275">
        <v>0.93200000000000005</v>
      </c>
      <c r="H192" s="275">
        <v>7.0999999999999994E-2</v>
      </c>
      <c r="I192" s="276">
        <v>84.33</v>
      </c>
      <c r="J192" s="276">
        <v>3.35</v>
      </c>
      <c r="K192" s="275">
        <v>0.31900000000000001</v>
      </c>
      <c r="L192" s="266"/>
      <c r="M192" s="264"/>
    </row>
    <row r="193" spans="2:13" ht="27" customHeight="1">
      <c r="B193" s="261"/>
      <c r="C193" s="235" t="s">
        <v>131</v>
      </c>
      <c r="D193" s="266"/>
      <c r="E193" s="266">
        <v>8</v>
      </c>
      <c r="F193" s="275">
        <v>2.4300000000000002</v>
      </c>
      <c r="G193" s="275">
        <v>0</v>
      </c>
      <c r="H193" s="275">
        <v>0</v>
      </c>
      <c r="I193" s="276">
        <v>0</v>
      </c>
      <c r="J193" s="276">
        <v>0</v>
      </c>
      <c r="K193" s="275">
        <v>0</v>
      </c>
      <c r="L193" s="266"/>
      <c r="M193" s="264"/>
    </row>
    <row r="194" spans="2:13" ht="27" customHeight="1">
      <c r="B194" s="261"/>
      <c r="C194" s="235" t="s">
        <v>132</v>
      </c>
      <c r="D194" s="266"/>
      <c r="E194" s="266">
        <v>1</v>
      </c>
      <c r="F194" s="275">
        <v>2.7570000000000001</v>
      </c>
      <c r="G194" s="275">
        <v>0</v>
      </c>
      <c r="H194" s="275">
        <v>0</v>
      </c>
      <c r="I194" s="276">
        <v>0</v>
      </c>
      <c r="J194" s="276">
        <v>0</v>
      </c>
      <c r="K194" s="275">
        <v>0</v>
      </c>
      <c r="L194" s="266"/>
      <c r="M194" s="264"/>
    </row>
    <row r="195" spans="2:13" ht="27" customHeight="1">
      <c r="B195" s="261"/>
      <c r="C195" s="235" t="s">
        <v>133</v>
      </c>
      <c r="D195" s="266"/>
      <c r="E195" s="266">
        <v>1</v>
      </c>
      <c r="F195" s="275">
        <v>4.1040000000000001</v>
      </c>
      <c r="G195" s="275">
        <v>0</v>
      </c>
      <c r="H195" s="275">
        <v>0</v>
      </c>
      <c r="I195" s="276">
        <v>0</v>
      </c>
      <c r="J195" s="276">
        <v>0</v>
      </c>
      <c r="K195" s="275">
        <v>0</v>
      </c>
      <c r="L195" s="266"/>
      <c r="M195" s="264"/>
    </row>
    <row r="196" spans="2:13" ht="27" customHeight="1">
      <c r="B196" s="261"/>
      <c r="C196" s="235" t="s">
        <v>134</v>
      </c>
      <c r="D196" s="266"/>
      <c r="E196" s="266">
        <v>1</v>
      </c>
      <c r="F196" s="275">
        <v>2.149</v>
      </c>
      <c r="G196" s="275">
        <v>0</v>
      </c>
      <c r="H196" s="275">
        <v>0</v>
      </c>
      <c r="I196" s="276">
        <v>0</v>
      </c>
      <c r="J196" s="276">
        <v>0</v>
      </c>
      <c r="K196" s="275">
        <v>0</v>
      </c>
      <c r="L196" s="266"/>
      <c r="M196" s="264"/>
    </row>
    <row r="197" spans="2:13" ht="27" customHeight="1">
      <c r="B197" s="261"/>
      <c r="C197" s="235" t="s">
        <v>135</v>
      </c>
      <c r="D197" s="266"/>
      <c r="E197" s="266"/>
      <c r="F197" s="275">
        <v>36.679000000000002</v>
      </c>
      <c r="G197" s="275">
        <v>2.423</v>
      </c>
      <c r="H197" s="275">
        <v>0.91700000000000004</v>
      </c>
      <c r="I197" s="276">
        <v>0</v>
      </c>
      <c r="J197" s="276">
        <v>0</v>
      </c>
      <c r="K197" s="275">
        <v>0</v>
      </c>
      <c r="L197" s="266"/>
      <c r="M197" s="264"/>
    </row>
    <row r="198" spans="2:13" ht="27" customHeight="1">
      <c r="B198" s="261"/>
      <c r="C198" s="235" t="s">
        <v>1645</v>
      </c>
      <c r="D198" s="266"/>
      <c r="E198" s="266" t="s">
        <v>1638</v>
      </c>
      <c r="F198" s="275">
        <v>-0.83399999999999996</v>
      </c>
      <c r="G198" s="275">
        <v>0</v>
      </c>
      <c r="H198" s="275">
        <v>0</v>
      </c>
      <c r="I198" s="276">
        <v>0</v>
      </c>
      <c r="J198" s="276">
        <v>0</v>
      </c>
      <c r="K198" s="275">
        <v>0</v>
      </c>
      <c r="L198" s="266"/>
      <c r="M198" s="264"/>
    </row>
    <row r="199" spans="2:13" ht="27" customHeight="1">
      <c r="B199" s="261"/>
      <c r="C199" s="235" t="s">
        <v>100</v>
      </c>
      <c r="D199" s="266"/>
      <c r="E199" s="266">
        <v>8</v>
      </c>
      <c r="F199" s="275">
        <v>-0.76500000000000001</v>
      </c>
      <c r="G199" s="275">
        <v>0</v>
      </c>
      <c r="H199" s="275">
        <v>0</v>
      </c>
      <c r="I199" s="276">
        <v>0</v>
      </c>
      <c r="J199" s="276">
        <v>0</v>
      </c>
      <c r="K199" s="275">
        <v>0</v>
      </c>
      <c r="L199" s="266"/>
      <c r="M199" s="264"/>
    </row>
    <row r="200" spans="2:13" ht="27" customHeight="1">
      <c r="B200" s="261"/>
      <c r="C200" s="235" t="s">
        <v>101</v>
      </c>
      <c r="D200" s="266"/>
      <c r="E200" s="266"/>
      <c r="F200" s="275">
        <v>-0.83399999999999996</v>
      </c>
      <c r="G200" s="275">
        <v>0</v>
      </c>
      <c r="H200" s="275">
        <v>0</v>
      </c>
      <c r="I200" s="276">
        <v>0</v>
      </c>
      <c r="J200" s="276">
        <v>0</v>
      </c>
      <c r="K200" s="275">
        <v>0.27300000000000002</v>
      </c>
      <c r="L200" s="266"/>
      <c r="M200" s="264"/>
    </row>
    <row r="201" spans="2:13" ht="27" customHeight="1">
      <c r="B201" s="261"/>
      <c r="C201" s="235" t="s">
        <v>102</v>
      </c>
      <c r="D201" s="266"/>
      <c r="E201" s="266"/>
      <c r="F201" s="275">
        <v>-6.718</v>
      </c>
      <c r="G201" s="275">
        <v>-0.66</v>
      </c>
      <c r="H201" s="275">
        <v>-0.10100000000000001</v>
      </c>
      <c r="I201" s="276">
        <v>0</v>
      </c>
      <c r="J201" s="276">
        <v>0</v>
      </c>
      <c r="K201" s="275">
        <v>0.27300000000000002</v>
      </c>
      <c r="L201" s="266"/>
      <c r="M201" s="264"/>
    </row>
    <row r="202" spans="2:13" ht="27" customHeight="1">
      <c r="B202" s="261"/>
      <c r="C202" s="235" t="s">
        <v>103</v>
      </c>
      <c r="D202" s="266"/>
      <c r="E202" s="266"/>
      <c r="F202" s="275">
        <v>-0.76500000000000001</v>
      </c>
      <c r="G202" s="275">
        <v>0</v>
      </c>
      <c r="H202" s="275">
        <v>0</v>
      </c>
      <c r="I202" s="276">
        <v>0</v>
      </c>
      <c r="J202" s="276">
        <v>0</v>
      </c>
      <c r="K202" s="275">
        <v>0.23899999999999999</v>
      </c>
      <c r="L202" s="266"/>
      <c r="M202" s="264"/>
    </row>
    <row r="203" spans="2:13" ht="27" customHeight="1">
      <c r="B203" s="261"/>
      <c r="C203" s="235" t="s">
        <v>104</v>
      </c>
      <c r="D203" s="266"/>
      <c r="E203" s="266"/>
      <c r="F203" s="275">
        <v>-6.1779999999999999</v>
      </c>
      <c r="G203" s="275">
        <v>-0.60099999999999998</v>
      </c>
      <c r="H203" s="275">
        <v>-9.2999999999999999E-2</v>
      </c>
      <c r="I203" s="276">
        <v>0</v>
      </c>
      <c r="J203" s="276">
        <v>0</v>
      </c>
      <c r="K203" s="275">
        <v>0.23899999999999999</v>
      </c>
      <c r="L203" s="266"/>
      <c r="M203" s="264"/>
    </row>
    <row r="204" spans="2:13" ht="27" customHeight="1">
      <c r="B204" s="261"/>
      <c r="C204" s="235" t="s">
        <v>112</v>
      </c>
      <c r="D204" s="266"/>
      <c r="E204" s="266"/>
      <c r="F204" s="275">
        <v>-0.53</v>
      </c>
      <c r="G204" s="275">
        <v>0</v>
      </c>
      <c r="H204" s="275">
        <v>0</v>
      </c>
      <c r="I204" s="276">
        <v>40.659999999999997</v>
      </c>
      <c r="J204" s="276">
        <v>0</v>
      </c>
      <c r="K204" s="275">
        <v>0.19500000000000001</v>
      </c>
      <c r="L204" s="266"/>
      <c r="M204" s="264"/>
    </row>
    <row r="205" spans="2:13" ht="27" customHeight="1">
      <c r="B205" s="261"/>
      <c r="C205" s="235" t="s">
        <v>113</v>
      </c>
      <c r="D205" s="266"/>
      <c r="E205" s="266"/>
      <c r="F205" s="275">
        <v>-4.3659999999999997</v>
      </c>
      <c r="G205" s="275">
        <v>-0.40100000000000002</v>
      </c>
      <c r="H205" s="275">
        <v>-6.6000000000000003E-2</v>
      </c>
      <c r="I205" s="276">
        <v>40.659999999999997</v>
      </c>
      <c r="J205" s="276">
        <v>0</v>
      </c>
      <c r="K205" s="275">
        <v>0.19500000000000001</v>
      </c>
      <c r="L205" s="266"/>
      <c r="M205" s="264"/>
    </row>
    <row r="206" spans="2:13" ht="27" customHeight="1">
      <c r="B206" s="261"/>
      <c r="C206" s="235" t="s">
        <v>147</v>
      </c>
      <c r="D206" s="266"/>
      <c r="E206" s="266">
        <v>1</v>
      </c>
      <c r="F206" s="275">
        <v>1.9339999999999999</v>
      </c>
      <c r="G206" s="275">
        <v>0</v>
      </c>
      <c r="H206" s="275">
        <v>0</v>
      </c>
      <c r="I206" s="276">
        <v>2.99</v>
      </c>
      <c r="J206" s="276">
        <v>0</v>
      </c>
      <c r="K206" s="275">
        <v>0</v>
      </c>
      <c r="L206" s="266"/>
      <c r="M206" s="264"/>
    </row>
    <row r="207" spans="2:13" ht="27" customHeight="1">
      <c r="B207" s="261"/>
      <c r="C207" s="235" t="s">
        <v>150</v>
      </c>
      <c r="D207" s="266"/>
      <c r="E207" s="266">
        <v>2</v>
      </c>
      <c r="F207" s="275">
        <v>2.0950000000000002</v>
      </c>
      <c r="G207" s="275">
        <v>0.13300000000000001</v>
      </c>
      <c r="H207" s="275">
        <v>0</v>
      </c>
      <c r="I207" s="276">
        <v>2.99</v>
      </c>
      <c r="J207" s="276">
        <v>0</v>
      </c>
      <c r="K207" s="275">
        <v>0</v>
      </c>
      <c r="L207" s="266"/>
      <c r="M207" s="264"/>
    </row>
    <row r="208" spans="2:13" ht="27" customHeight="1">
      <c r="B208" s="261"/>
      <c r="C208" s="235" t="s">
        <v>153</v>
      </c>
      <c r="D208" s="266"/>
      <c r="E208" s="266">
        <v>2</v>
      </c>
      <c r="F208" s="275">
        <v>0.19900000000000001</v>
      </c>
      <c r="G208" s="275">
        <v>0</v>
      </c>
      <c r="H208" s="275">
        <v>0</v>
      </c>
      <c r="I208" s="276">
        <v>0</v>
      </c>
      <c r="J208" s="276">
        <v>0</v>
      </c>
      <c r="K208" s="275">
        <v>0</v>
      </c>
      <c r="L208" s="266"/>
      <c r="M208" s="264"/>
    </row>
    <row r="209" spans="2:13" ht="27" customHeight="1">
      <c r="B209" s="261"/>
      <c r="C209" s="235" t="s">
        <v>156</v>
      </c>
      <c r="D209" s="266"/>
      <c r="E209" s="266">
        <v>3</v>
      </c>
      <c r="F209" s="275">
        <v>1.5209999999999999</v>
      </c>
      <c r="G209" s="275">
        <v>0</v>
      </c>
      <c r="H209" s="275">
        <v>0</v>
      </c>
      <c r="I209" s="276">
        <v>5.0199999999999996</v>
      </c>
      <c r="J209" s="276">
        <v>0</v>
      </c>
      <c r="K209" s="275">
        <v>0</v>
      </c>
      <c r="L209" s="266"/>
      <c r="M209" s="264"/>
    </row>
    <row r="210" spans="2:13" ht="27" customHeight="1">
      <c r="B210" s="261"/>
      <c r="C210" s="235" t="s">
        <v>159</v>
      </c>
      <c r="D210" s="266"/>
      <c r="E210" s="266">
        <v>4</v>
      </c>
      <c r="F210" s="275">
        <v>1.958</v>
      </c>
      <c r="G210" s="275">
        <v>0.17100000000000001</v>
      </c>
      <c r="H210" s="275">
        <v>0</v>
      </c>
      <c r="I210" s="276">
        <v>5.0199999999999996</v>
      </c>
      <c r="J210" s="276">
        <v>0</v>
      </c>
      <c r="K210" s="275">
        <v>0</v>
      </c>
      <c r="L210" s="266"/>
      <c r="M210" s="264"/>
    </row>
    <row r="211" spans="2:13" ht="27" customHeight="1">
      <c r="B211" s="261"/>
      <c r="C211" s="235" t="s">
        <v>162</v>
      </c>
      <c r="D211" s="266"/>
      <c r="E211" s="266">
        <v>4</v>
      </c>
      <c r="F211" s="275">
        <v>0.20499999999999999</v>
      </c>
      <c r="G211" s="275">
        <v>0</v>
      </c>
      <c r="H211" s="275">
        <v>0</v>
      </c>
      <c r="I211" s="276">
        <v>0</v>
      </c>
      <c r="J211" s="276">
        <v>0</v>
      </c>
      <c r="K211" s="275">
        <v>0</v>
      </c>
      <c r="L211" s="266"/>
      <c r="M211" s="264"/>
    </row>
    <row r="212" spans="2:13" ht="27" customHeight="1">
      <c r="B212" s="261"/>
      <c r="C212" s="235" t="s">
        <v>165</v>
      </c>
      <c r="D212" s="266"/>
      <c r="E212" s="266" t="s">
        <v>1247</v>
      </c>
      <c r="F212" s="275">
        <v>1.8260000000000001</v>
      </c>
      <c r="G212" s="275">
        <v>0.10299999999999999</v>
      </c>
      <c r="H212" s="275">
        <v>0</v>
      </c>
      <c r="I212" s="276">
        <v>29.2</v>
      </c>
      <c r="J212" s="276">
        <v>0</v>
      </c>
      <c r="K212" s="275">
        <v>0</v>
      </c>
      <c r="L212" s="266"/>
      <c r="M212" s="264"/>
    </row>
    <row r="213" spans="2:13" ht="27" customHeight="1">
      <c r="B213" s="261"/>
      <c r="C213" s="235" t="s">
        <v>1644</v>
      </c>
      <c r="D213" s="266"/>
      <c r="E213" s="266"/>
      <c r="F213" s="275">
        <v>11.565</v>
      </c>
      <c r="G213" s="275">
        <v>1.1499999999999999</v>
      </c>
      <c r="H213" s="275">
        <v>0.106</v>
      </c>
      <c r="I213" s="276">
        <v>2.99</v>
      </c>
      <c r="J213" s="276">
        <v>0</v>
      </c>
      <c r="K213" s="275">
        <v>0</v>
      </c>
      <c r="L213" s="266"/>
      <c r="M213" s="264"/>
    </row>
    <row r="214" spans="2:13" ht="27" customHeight="1">
      <c r="B214" s="261"/>
      <c r="C214" s="235" t="s">
        <v>1643</v>
      </c>
      <c r="D214" s="266"/>
      <c r="E214" s="266"/>
      <c r="F214" s="275">
        <v>11.571999999999999</v>
      </c>
      <c r="G214" s="275">
        <v>1.1499999999999999</v>
      </c>
      <c r="H214" s="275">
        <v>0.106</v>
      </c>
      <c r="I214" s="276">
        <v>5.0199999999999996</v>
      </c>
      <c r="J214" s="276">
        <v>0</v>
      </c>
      <c r="K214" s="275">
        <v>0</v>
      </c>
      <c r="L214" s="266"/>
      <c r="M214" s="264"/>
    </row>
    <row r="215" spans="2:13" ht="27" customHeight="1">
      <c r="B215" s="261"/>
      <c r="C215" s="235" t="s">
        <v>170</v>
      </c>
      <c r="D215" s="266"/>
      <c r="E215" s="266"/>
      <c r="F215" s="275">
        <v>8.9369999999999994</v>
      </c>
      <c r="G215" s="275">
        <v>0.88100000000000001</v>
      </c>
      <c r="H215" s="275">
        <v>7.8E-2</v>
      </c>
      <c r="I215" s="276">
        <v>7.51</v>
      </c>
      <c r="J215" s="276">
        <v>1.95</v>
      </c>
      <c r="K215" s="275">
        <v>0.316</v>
      </c>
      <c r="L215" s="266"/>
      <c r="M215" s="264"/>
    </row>
    <row r="216" spans="2:13" ht="27" customHeight="1">
      <c r="B216" s="261"/>
      <c r="C216" s="235" t="s">
        <v>177</v>
      </c>
      <c r="D216" s="266"/>
      <c r="E216" s="266">
        <v>8</v>
      </c>
      <c r="F216" s="275">
        <v>1.653</v>
      </c>
      <c r="G216" s="275">
        <v>0</v>
      </c>
      <c r="H216" s="275">
        <v>0</v>
      </c>
      <c r="I216" s="276">
        <v>0</v>
      </c>
      <c r="J216" s="276">
        <v>0</v>
      </c>
      <c r="K216" s="275">
        <v>0</v>
      </c>
      <c r="L216" s="266"/>
      <c r="M216" s="264"/>
    </row>
    <row r="217" spans="2:13" ht="27" customHeight="1">
      <c r="B217" s="261"/>
      <c r="C217" s="235" t="s">
        <v>180</v>
      </c>
      <c r="D217" s="266"/>
      <c r="E217" s="266">
        <v>1</v>
      </c>
      <c r="F217" s="275">
        <v>1.8759999999999999</v>
      </c>
      <c r="G217" s="275">
        <v>0</v>
      </c>
      <c r="H217" s="275">
        <v>0</v>
      </c>
      <c r="I217" s="276">
        <v>0</v>
      </c>
      <c r="J217" s="276">
        <v>0</v>
      </c>
      <c r="K217" s="275">
        <v>0</v>
      </c>
      <c r="L217" s="266"/>
      <c r="M217" s="264"/>
    </row>
    <row r="218" spans="2:13" ht="27" customHeight="1">
      <c r="B218" s="261"/>
      <c r="C218" s="235" t="s">
        <v>183</v>
      </c>
      <c r="D218" s="266"/>
      <c r="E218" s="266">
        <v>1</v>
      </c>
      <c r="F218" s="275">
        <v>2.7919999999999998</v>
      </c>
      <c r="G218" s="275">
        <v>0</v>
      </c>
      <c r="H218" s="275">
        <v>0</v>
      </c>
      <c r="I218" s="276">
        <v>0</v>
      </c>
      <c r="J218" s="276">
        <v>0</v>
      </c>
      <c r="K218" s="275">
        <v>0</v>
      </c>
      <c r="L218" s="266"/>
      <c r="M218" s="264"/>
    </row>
    <row r="219" spans="2:13" ht="27" customHeight="1">
      <c r="B219" s="261"/>
      <c r="C219" s="235" t="s">
        <v>186</v>
      </c>
      <c r="D219" s="266"/>
      <c r="E219" s="266">
        <v>1</v>
      </c>
      <c r="F219" s="275">
        <v>1.462</v>
      </c>
      <c r="G219" s="275">
        <v>0</v>
      </c>
      <c r="H219" s="275">
        <v>0</v>
      </c>
      <c r="I219" s="276">
        <v>0</v>
      </c>
      <c r="J219" s="276">
        <v>0</v>
      </c>
      <c r="K219" s="275">
        <v>0</v>
      </c>
      <c r="L219" s="266"/>
      <c r="M219" s="264"/>
    </row>
    <row r="220" spans="2:13" ht="27" customHeight="1">
      <c r="B220" s="261"/>
      <c r="C220" s="235" t="s">
        <v>189</v>
      </c>
      <c r="D220" s="266"/>
      <c r="E220" s="266"/>
      <c r="F220" s="275">
        <v>24.954999999999998</v>
      </c>
      <c r="G220" s="275">
        <v>1.649</v>
      </c>
      <c r="H220" s="275">
        <v>0.624</v>
      </c>
      <c r="I220" s="276">
        <v>0</v>
      </c>
      <c r="J220" s="276">
        <v>0</v>
      </c>
      <c r="K220" s="275">
        <v>0</v>
      </c>
      <c r="L220" s="266"/>
      <c r="M220" s="264"/>
    </row>
    <row r="221" spans="2:13" ht="27" customHeight="1">
      <c r="B221" s="261"/>
      <c r="C221" s="235" t="s">
        <v>1642</v>
      </c>
      <c r="D221" s="266"/>
      <c r="E221" s="266" t="s">
        <v>1638</v>
      </c>
      <c r="F221" s="275">
        <v>-0.83399999999999996</v>
      </c>
      <c r="G221" s="275">
        <v>0</v>
      </c>
      <c r="H221" s="275">
        <v>0</v>
      </c>
      <c r="I221" s="276">
        <v>0</v>
      </c>
      <c r="J221" s="276">
        <v>0</v>
      </c>
      <c r="K221" s="275">
        <v>0</v>
      </c>
      <c r="L221" s="266"/>
      <c r="M221" s="264"/>
    </row>
    <row r="222" spans="2:13" ht="27" customHeight="1">
      <c r="B222" s="261"/>
      <c r="C222" s="235" t="s">
        <v>194</v>
      </c>
      <c r="D222" s="266"/>
      <c r="E222" s="266"/>
      <c r="F222" s="275">
        <v>-0.83399999999999996</v>
      </c>
      <c r="G222" s="275">
        <v>0</v>
      </c>
      <c r="H222" s="275">
        <v>0</v>
      </c>
      <c r="I222" s="276">
        <v>0</v>
      </c>
      <c r="J222" s="276">
        <v>0</v>
      </c>
      <c r="K222" s="275">
        <v>0.27300000000000002</v>
      </c>
      <c r="L222" s="266"/>
      <c r="M222" s="264"/>
    </row>
    <row r="223" spans="2:13" ht="27" customHeight="1">
      <c r="B223" s="261"/>
      <c r="C223" s="235" t="s">
        <v>197</v>
      </c>
      <c r="D223" s="266"/>
      <c r="E223" s="266"/>
      <c r="F223" s="275">
        <v>-6.718</v>
      </c>
      <c r="G223" s="275">
        <v>-0.66</v>
      </c>
      <c r="H223" s="275">
        <v>-0.10100000000000001</v>
      </c>
      <c r="I223" s="276">
        <v>0</v>
      </c>
      <c r="J223" s="276">
        <v>0</v>
      </c>
      <c r="K223" s="275">
        <v>0.27300000000000002</v>
      </c>
      <c r="L223" s="266"/>
      <c r="M223" s="264"/>
    </row>
    <row r="224" spans="2:13" ht="27" customHeight="1">
      <c r="B224" s="261"/>
      <c r="C224" s="235" t="s">
        <v>148</v>
      </c>
      <c r="D224" s="266"/>
      <c r="E224" s="266">
        <v>1</v>
      </c>
      <c r="F224" s="275">
        <v>1.0269999999999999</v>
      </c>
      <c r="G224" s="275">
        <v>0</v>
      </c>
      <c r="H224" s="275">
        <v>0</v>
      </c>
      <c r="I224" s="276">
        <v>1.59</v>
      </c>
      <c r="J224" s="276">
        <v>0</v>
      </c>
      <c r="K224" s="275">
        <v>0</v>
      </c>
      <c r="L224" s="266"/>
      <c r="M224" s="264"/>
    </row>
    <row r="225" spans="2:13" ht="27" customHeight="1">
      <c r="B225" s="261"/>
      <c r="C225" s="235" t="s">
        <v>151</v>
      </c>
      <c r="D225" s="266"/>
      <c r="E225" s="266">
        <v>2</v>
      </c>
      <c r="F225" s="275">
        <v>1.113</v>
      </c>
      <c r="G225" s="275">
        <v>7.0000000000000007E-2</v>
      </c>
      <c r="H225" s="275">
        <v>0</v>
      </c>
      <c r="I225" s="276">
        <v>1.59</v>
      </c>
      <c r="J225" s="276">
        <v>0</v>
      </c>
      <c r="K225" s="275">
        <v>0</v>
      </c>
      <c r="L225" s="266"/>
      <c r="M225" s="264"/>
    </row>
    <row r="226" spans="2:13" ht="27" customHeight="1">
      <c r="B226" s="261"/>
      <c r="C226" s="235" t="s">
        <v>154</v>
      </c>
      <c r="D226" s="266"/>
      <c r="E226" s="266">
        <v>2</v>
      </c>
      <c r="F226" s="275">
        <v>0.106</v>
      </c>
      <c r="G226" s="275">
        <v>0</v>
      </c>
      <c r="H226" s="275">
        <v>0</v>
      </c>
      <c r="I226" s="276">
        <v>0</v>
      </c>
      <c r="J226" s="276">
        <v>0</v>
      </c>
      <c r="K226" s="275">
        <v>0</v>
      </c>
      <c r="L226" s="266"/>
      <c r="M226" s="264"/>
    </row>
    <row r="227" spans="2:13" ht="27" customHeight="1">
      <c r="B227" s="261"/>
      <c r="C227" s="235" t="s">
        <v>157</v>
      </c>
      <c r="D227" s="266"/>
      <c r="E227" s="266">
        <v>3</v>
      </c>
      <c r="F227" s="275">
        <v>0.80800000000000005</v>
      </c>
      <c r="G227" s="275">
        <v>0</v>
      </c>
      <c r="H227" s="275">
        <v>0</v>
      </c>
      <c r="I227" s="276">
        <v>2.67</v>
      </c>
      <c r="J227" s="276">
        <v>0</v>
      </c>
      <c r="K227" s="275">
        <v>0</v>
      </c>
      <c r="L227" s="266"/>
      <c r="M227" s="264"/>
    </row>
    <row r="228" spans="2:13" ht="27" customHeight="1">
      <c r="B228" s="261"/>
      <c r="C228" s="235" t="s">
        <v>160</v>
      </c>
      <c r="D228" s="266"/>
      <c r="E228" s="266">
        <v>4</v>
      </c>
      <c r="F228" s="275">
        <v>1.04</v>
      </c>
      <c r="G228" s="275">
        <v>9.0999999999999998E-2</v>
      </c>
      <c r="H228" s="275">
        <v>0</v>
      </c>
      <c r="I228" s="276">
        <v>2.67</v>
      </c>
      <c r="J228" s="276">
        <v>0</v>
      </c>
      <c r="K228" s="275">
        <v>0</v>
      </c>
      <c r="L228" s="266"/>
      <c r="M228" s="264"/>
    </row>
    <row r="229" spans="2:13" ht="27" customHeight="1">
      <c r="B229" s="261"/>
      <c r="C229" s="235" t="s">
        <v>163</v>
      </c>
      <c r="D229" s="266"/>
      <c r="E229" s="266">
        <v>4</v>
      </c>
      <c r="F229" s="275">
        <v>0.109</v>
      </c>
      <c r="G229" s="275">
        <v>0</v>
      </c>
      <c r="H229" s="275">
        <v>0</v>
      </c>
      <c r="I229" s="276">
        <v>0</v>
      </c>
      <c r="J229" s="276">
        <v>0</v>
      </c>
      <c r="K229" s="275">
        <v>0</v>
      </c>
      <c r="L229" s="266"/>
      <c r="M229" s="264"/>
    </row>
    <row r="230" spans="2:13" ht="27" customHeight="1">
      <c r="B230" s="261"/>
      <c r="C230" s="235" t="s">
        <v>166</v>
      </c>
      <c r="D230" s="266"/>
      <c r="E230" s="266" t="s">
        <v>1247</v>
      </c>
      <c r="F230" s="275">
        <v>0.97</v>
      </c>
      <c r="G230" s="275">
        <v>5.5E-2</v>
      </c>
      <c r="H230" s="275">
        <v>0</v>
      </c>
      <c r="I230" s="276">
        <v>15.52</v>
      </c>
      <c r="J230" s="276">
        <v>0</v>
      </c>
      <c r="K230" s="275">
        <v>0</v>
      </c>
      <c r="L230" s="266"/>
      <c r="M230" s="264"/>
    </row>
    <row r="231" spans="2:13" ht="27" customHeight="1">
      <c r="B231" s="261"/>
      <c r="C231" s="235" t="s">
        <v>1641</v>
      </c>
      <c r="D231" s="266"/>
      <c r="E231" s="266"/>
      <c r="F231" s="275">
        <v>6.1449999999999996</v>
      </c>
      <c r="G231" s="275">
        <v>0.61099999999999999</v>
      </c>
      <c r="H231" s="275">
        <v>5.6000000000000001E-2</v>
      </c>
      <c r="I231" s="276">
        <v>1.59</v>
      </c>
      <c r="J231" s="276">
        <v>0</v>
      </c>
      <c r="K231" s="275">
        <v>0</v>
      </c>
      <c r="L231" s="266"/>
      <c r="M231" s="264"/>
    </row>
    <row r="232" spans="2:13" ht="27" customHeight="1">
      <c r="B232" s="261"/>
      <c r="C232" s="235" t="s">
        <v>1640</v>
      </c>
      <c r="D232" s="266"/>
      <c r="E232" s="266"/>
      <c r="F232" s="275">
        <v>6.149</v>
      </c>
      <c r="G232" s="275">
        <v>0.61099999999999999</v>
      </c>
      <c r="H232" s="275">
        <v>5.6000000000000001E-2</v>
      </c>
      <c r="I232" s="276">
        <v>2.67</v>
      </c>
      <c r="J232" s="276">
        <v>0</v>
      </c>
      <c r="K232" s="275">
        <v>0</v>
      </c>
      <c r="L232" s="266"/>
      <c r="M232" s="264"/>
    </row>
    <row r="233" spans="2:13" ht="27" customHeight="1">
      <c r="B233" s="261"/>
      <c r="C233" s="235" t="s">
        <v>171</v>
      </c>
      <c r="D233" s="266"/>
      <c r="E233" s="266"/>
      <c r="F233" s="275">
        <v>4.7489999999999997</v>
      </c>
      <c r="G233" s="275">
        <v>0.46800000000000003</v>
      </c>
      <c r="H233" s="275">
        <v>4.2000000000000003E-2</v>
      </c>
      <c r="I233" s="276">
        <v>3.99</v>
      </c>
      <c r="J233" s="276">
        <v>1.04</v>
      </c>
      <c r="K233" s="275">
        <v>0.16800000000000001</v>
      </c>
      <c r="L233" s="266"/>
      <c r="M233" s="264"/>
    </row>
    <row r="234" spans="2:13" ht="27" customHeight="1">
      <c r="B234" s="261"/>
      <c r="C234" s="235" t="s">
        <v>173</v>
      </c>
      <c r="D234" s="266"/>
      <c r="E234" s="266"/>
      <c r="F234" s="275">
        <v>5.7030000000000003</v>
      </c>
      <c r="G234" s="275">
        <v>0.55300000000000005</v>
      </c>
      <c r="H234" s="275">
        <v>4.5999999999999999E-2</v>
      </c>
      <c r="I234" s="276">
        <v>4.6500000000000004</v>
      </c>
      <c r="J234" s="276">
        <v>1.77</v>
      </c>
      <c r="K234" s="275">
        <v>0.221</v>
      </c>
      <c r="L234" s="266"/>
      <c r="M234" s="264"/>
    </row>
    <row r="235" spans="2:13" ht="27" customHeight="1">
      <c r="B235" s="261"/>
      <c r="C235" s="235" t="s">
        <v>175</v>
      </c>
      <c r="D235" s="266"/>
      <c r="E235" s="266"/>
      <c r="F235" s="275">
        <v>6.3380000000000001</v>
      </c>
      <c r="G235" s="275">
        <v>0.61099999999999999</v>
      </c>
      <c r="H235" s="275">
        <v>4.7E-2</v>
      </c>
      <c r="I235" s="276">
        <v>55.28</v>
      </c>
      <c r="J235" s="276">
        <v>2.2000000000000002</v>
      </c>
      <c r="K235" s="275">
        <v>0.20899999999999999</v>
      </c>
      <c r="L235" s="266"/>
      <c r="M235" s="264"/>
    </row>
    <row r="236" spans="2:13" ht="27" customHeight="1">
      <c r="B236" s="261"/>
      <c r="C236" s="235" t="s">
        <v>178</v>
      </c>
      <c r="D236" s="266"/>
      <c r="E236" s="266">
        <v>8</v>
      </c>
      <c r="F236" s="275">
        <v>0.879</v>
      </c>
      <c r="G236" s="275">
        <v>0</v>
      </c>
      <c r="H236" s="275">
        <v>0</v>
      </c>
      <c r="I236" s="276">
        <v>0</v>
      </c>
      <c r="J236" s="276">
        <v>0</v>
      </c>
      <c r="K236" s="275">
        <v>0</v>
      </c>
      <c r="L236" s="266"/>
      <c r="M236" s="264"/>
    </row>
    <row r="237" spans="2:13" ht="27" customHeight="1">
      <c r="B237" s="261"/>
      <c r="C237" s="235" t="s">
        <v>181</v>
      </c>
      <c r="D237" s="266"/>
      <c r="E237" s="266">
        <v>1</v>
      </c>
      <c r="F237" s="275">
        <v>0.997</v>
      </c>
      <c r="G237" s="275">
        <v>0</v>
      </c>
      <c r="H237" s="275">
        <v>0</v>
      </c>
      <c r="I237" s="276">
        <v>0</v>
      </c>
      <c r="J237" s="276">
        <v>0</v>
      </c>
      <c r="K237" s="275">
        <v>0</v>
      </c>
      <c r="L237" s="266"/>
      <c r="M237" s="264"/>
    </row>
    <row r="238" spans="2:13" ht="27" customHeight="1">
      <c r="B238" s="261"/>
      <c r="C238" s="235" t="s">
        <v>184</v>
      </c>
      <c r="D238" s="266"/>
      <c r="E238" s="266">
        <v>1</v>
      </c>
      <c r="F238" s="275">
        <v>1.484</v>
      </c>
      <c r="G238" s="275">
        <v>0</v>
      </c>
      <c r="H238" s="275">
        <v>0</v>
      </c>
      <c r="I238" s="276">
        <v>0</v>
      </c>
      <c r="J238" s="276">
        <v>0</v>
      </c>
      <c r="K238" s="275">
        <v>0</v>
      </c>
      <c r="L238" s="266"/>
      <c r="M238" s="264"/>
    </row>
    <row r="239" spans="2:13" ht="27" customHeight="1">
      <c r="B239" s="261"/>
      <c r="C239" s="235" t="s">
        <v>187</v>
      </c>
      <c r="D239" s="266"/>
      <c r="E239" s="266">
        <v>1</v>
      </c>
      <c r="F239" s="275">
        <v>0.77700000000000002</v>
      </c>
      <c r="G239" s="275">
        <v>0</v>
      </c>
      <c r="H239" s="275">
        <v>0</v>
      </c>
      <c r="I239" s="276">
        <v>0</v>
      </c>
      <c r="J239" s="276">
        <v>0</v>
      </c>
      <c r="K239" s="275">
        <v>0</v>
      </c>
      <c r="L239" s="266"/>
      <c r="M239" s="264"/>
    </row>
    <row r="240" spans="2:13" ht="27" customHeight="1">
      <c r="B240" s="261"/>
      <c r="C240" s="235" t="s">
        <v>190</v>
      </c>
      <c r="D240" s="266"/>
      <c r="E240" s="266"/>
      <c r="F240" s="275">
        <v>13.260999999999999</v>
      </c>
      <c r="G240" s="275">
        <v>0.876</v>
      </c>
      <c r="H240" s="275">
        <v>0.33200000000000002</v>
      </c>
      <c r="I240" s="276">
        <v>0</v>
      </c>
      <c r="J240" s="276">
        <v>0</v>
      </c>
      <c r="K240" s="275">
        <v>0</v>
      </c>
      <c r="L240" s="266"/>
      <c r="M240" s="264"/>
    </row>
    <row r="241" spans="2:13" ht="27" customHeight="1">
      <c r="B241" s="261"/>
      <c r="C241" s="235" t="s">
        <v>1639</v>
      </c>
      <c r="D241" s="266"/>
      <c r="E241" s="266" t="s">
        <v>1638</v>
      </c>
      <c r="F241" s="275">
        <v>-0.83399999999999996</v>
      </c>
      <c r="G241" s="275">
        <v>0</v>
      </c>
      <c r="H241" s="275">
        <v>0</v>
      </c>
      <c r="I241" s="276">
        <v>0</v>
      </c>
      <c r="J241" s="276">
        <v>0</v>
      </c>
      <c r="K241" s="275">
        <v>0</v>
      </c>
      <c r="L241" s="266"/>
      <c r="M241" s="264"/>
    </row>
    <row r="242" spans="2:13" ht="27" customHeight="1">
      <c r="B242" s="261"/>
      <c r="C242" s="235" t="s">
        <v>192</v>
      </c>
      <c r="D242" s="266"/>
      <c r="E242" s="266">
        <v>8</v>
      </c>
      <c r="F242" s="275">
        <v>-0.76500000000000001</v>
      </c>
      <c r="G242" s="275">
        <v>0</v>
      </c>
      <c r="H242" s="275">
        <v>0</v>
      </c>
      <c r="I242" s="276">
        <v>0</v>
      </c>
      <c r="J242" s="276">
        <v>0</v>
      </c>
      <c r="K242" s="275">
        <v>0</v>
      </c>
      <c r="L242" s="266"/>
      <c r="M242" s="264"/>
    </row>
    <row r="243" spans="2:13" ht="27" customHeight="1">
      <c r="B243" s="261"/>
      <c r="C243" s="235" t="s">
        <v>195</v>
      </c>
      <c r="D243" s="266"/>
      <c r="E243" s="266"/>
      <c r="F243" s="275">
        <v>-0.83399999999999996</v>
      </c>
      <c r="G243" s="275">
        <v>0</v>
      </c>
      <c r="H243" s="275">
        <v>0</v>
      </c>
      <c r="I243" s="276">
        <v>0</v>
      </c>
      <c r="J243" s="276">
        <v>0</v>
      </c>
      <c r="K243" s="275">
        <v>0.27300000000000002</v>
      </c>
      <c r="L243" s="266"/>
      <c r="M243" s="264"/>
    </row>
    <row r="244" spans="2:13" ht="27" customHeight="1">
      <c r="B244" s="261"/>
      <c r="C244" s="235" t="s">
        <v>198</v>
      </c>
      <c r="D244" s="266"/>
      <c r="E244" s="266"/>
      <c r="F244" s="275">
        <v>-6.718</v>
      </c>
      <c r="G244" s="275">
        <v>-0.66</v>
      </c>
      <c r="H244" s="275">
        <v>-0.10100000000000001</v>
      </c>
      <c r="I244" s="276">
        <v>0</v>
      </c>
      <c r="J244" s="276">
        <v>0</v>
      </c>
      <c r="K244" s="275">
        <v>0.27300000000000002</v>
      </c>
      <c r="L244" s="266"/>
      <c r="M244" s="264"/>
    </row>
    <row r="245" spans="2:13" ht="27" customHeight="1">
      <c r="B245" s="261"/>
      <c r="C245" s="235" t="s">
        <v>200</v>
      </c>
      <c r="D245" s="266"/>
      <c r="E245" s="266"/>
      <c r="F245" s="275">
        <v>-0.76500000000000001</v>
      </c>
      <c r="G245" s="275">
        <v>0</v>
      </c>
      <c r="H245" s="275">
        <v>0</v>
      </c>
      <c r="I245" s="276">
        <v>0</v>
      </c>
      <c r="J245" s="276">
        <v>0</v>
      </c>
      <c r="K245" s="275">
        <v>0.23899999999999999</v>
      </c>
      <c r="L245" s="266"/>
      <c r="M245" s="264"/>
    </row>
    <row r="246" spans="2:13" ht="27" customHeight="1">
      <c r="B246" s="261"/>
      <c r="C246" s="235" t="s">
        <v>202</v>
      </c>
      <c r="D246" s="266"/>
      <c r="E246" s="266"/>
      <c r="F246" s="275">
        <v>-6.1779999999999999</v>
      </c>
      <c r="G246" s="275">
        <v>-0.60099999999999998</v>
      </c>
      <c r="H246" s="275">
        <v>-9.2999999999999999E-2</v>
      </c>
      <c r="I246" s="276">
        <v>0</v>
      </c>
      <c r="J246" s="276">
        <v>0</v>
      </c>
      <c r="K246" s="275">
        <v>0.23899999999999999</v>
      </c>
      <c r="L246" s="266"/>
      <c r="M246" s="264"/>
    </row>
    <row r="247" spans="2:13" ht="27" customHeight="1">
      <c r="B247" s="261"/>
      <c r="C247" s="235" t="s">
        <v>204</v>
      </c>
      <c r="D247" s="266"/>
      <c r="E247" s="266"/>
      <c r="F247" s="275">
        <v>-0.53</v>
      </c>
      <c r="G247" s="275">
        <v>0</v>
      </c>
      <c r="H247" s="275">
        <v>0</v>
      </c>
      <c r="I247" s="276">
        <v>0</v>
      </c>
      <c r="J247" s="276">
        <v>0</v>
      </c>
      <c r="K247" s="275">
        <v>0.19500000000000001</v>
      </c>
      <c r="L247" s="266"/>
      <c r="M247" s="264"/>
    </row>
    <row r="248" spans="2:13" ht="27" customHeight="1">
      <c r="B248" s="261"/>
      <c r="C248" s="235" t="s">
        <v>206</v>
      </c>
      <c r="D248" s="266"/>
      <c r="E248" s="266"/>
      <c r="F248" s="275">
        <v>-4.3659999999999997</v>
      </c>
      <c r="G248" s="275">
        <v>-0.40100000000000002</v>
      </c>
      <c r="H248" s="275">
        <v>-6.6000000000000003E-2</v>
      </c>
      <c r="I248" s="276">
        <v>0</v>
      </c>
      <c r="J248" s="276">
        <v>0</v>
      </c>
      <c r="K248" s="275">
        <v>0.19500000000000001</v>
      </c>
      <c r="L248" s="266"/>
      <c r="M248" s="264"/>
    </row>
    <row r="249" spans="2:13" ht="27" customHeight="1" thickBot="1">
      <c r="B249" s="267"/>
      <c r="C249" s="268"/>
      <c r="D249" s="268"/>
      <c r="E249" s="268"/>
      <c r="F249" s="268"/>
      <c r="G249" s="268"/>
      <c r="H249" s="268"/>
      <c r="I249" s="268"/>
      <c r="J249" s="268"/>
      <c r="K249" s="268"/>
      <c r="L249" s="268"/>
      <c r="M249" s="269"/>
    </row>
    <row r="250" spans="2:13" ht="27" customHeight="1"/>
    <row r="251" spans="2:13" ht="27" customHeight="1"/>
    <row r="252" spans="2:13" ht="27" customHeight="1" thickBot="1"/>
    <row r="253" spans="2:13" ht="27" customHeight="1">
      <c r="B253" s="257"/>
      <c r="C253" s="258"/>
      <c r="D253" s="259"/>
      <c r="E253" s="259"/>
      <c r="F253" s="259"/>
      <c r="G253" s="259"/>
      <c r="H253" s="259"/>
      <c r="I253" s="259"/>
      <c r="J253" s="259"/>
      <c r="K253" s="259"/>
      <c r="L253" s="259"/>
      <c r="M253" s="260"/>
    </row>
    <row r="254" spans="2:13" ht="27" customHeight="1">
      <c r="B254" s="261"/>
      <c r="C254" s="262" t="str">
        <f>"Tariffs for Charging Year: "&amp; " "&amp;D9&amp;""</f>
        <v>Tariffs for Charging Year:  2018/19</v>
      </c>
      <c r="D254" s="262"/>
      <c r="E254" s="262"/>
      <c r="F254" s="262"/>
      <c r="G254" s="262"/>
      <c r="H254" s="262"/>
      <c r="I254" s="263"/>
      <c r="J254" s="263"/>
      <c r="K254" s="263"/>
      <c r="L254" s="263"/>
      <c r="M254" s="264"/>
    </row>
    <row r="255" spans="2:13" ht="27" customHeight="1">
      <c r="B255" s="261"/>
      <c r="C255" s="247"/>
      <c r="D255" s="263"/>
      <c r="E255" s="263"/>
      <c r="F255" s="263"/>
      <c r="G255" s="263"/>
      <c r="H255" s="263"/>
      <c r="I255" s="263"/>
      <c r="J255" s="263"/>
      <c r="K255" s="263"/>
      <c r="L255" s="263"/>
      <c r="M255" s="264"/>
    </row>
    <row r="256" spans="2:13" ht="27" customHeight="1">
      <c r="B256" s="261"/>
      <c r="C256" s="247"/>
      <c r="D256" s="263"/>
      <c r="E256" s="263"/>
      <c r="F256" s="263"/>
      <c r="G256" s="263"/>
      <c r="H256" s="263"/>
      <c r="I256" s="263"/>
      <c r="J256" s="263"/>
      <c r="K256" s="263"/>
      <c r="L256" s="263"/>
      <c r="M256" s="264"/>
    </row>
    <row r="257" spans="2:13" ht="27" customHeight="1">
      <c r="B257" s="261"/>
      <c r="C257" s="265"/>
      <c r="D257" s="236" t="s">
        <v>1244</v>
      </c>
      <c r="E257" s="236" t="s">
        <v>1245</v>
      </c>
      <c r="F257" s="236" t="s">
        <v>1164</v>
      </c>
      <c r="G257" s="236" t="s">
        <v>1165</v>
      </c>
      <c r="H257" s="236" t="s">
        <v>1166</v>
      </c>
      <c r="I257" s="236" t="s">
        <v>1167</v>
      </c>
      <c r="J257" s="236" t="s">
        <v>1168</v>
      </c>
      <c r="K257" s="236" t="s">
        <v>791</v>
      </c>
      <c r="L257" s="236" t="s">
        <v>1246</v>
      </c>
      <c r="M257" s="264"/>
    </row>
    <row r="258" spans="2:13" ht="27" customHeight="1">
      <c r="B258" s="261"/>
      <c r="C258" s="235" t="s">
        <v>92</v>
      </c>
      <c r="D258" s="266"/>
      <c r="E258" s="266">
        <v>1</v>
      </c>
      <c r="F258" s="275">
        <v>2.9609999999999999</v>
      </c>
      <c r="G258" s="275">
        <v>0</v>
      </c>
      <c r="H258" s="275">
        <v>0</v>
      </c>
      <c r="I258" s="276">
        <v>4.53</v>
      </c>
      <c r="J258" s="276">
        <v>0</v>
      </c>
      <c r="K258" s="275">
        <v>0</v>
      </c>
      <c r="L258" s="266"/>
      <c r="M258" s="264"/>
    </row>
    <row r="259" spans="2:13" ht="27" customHeight="1">
      <c r="B259" s="261"/>
      <c r="C259" s="235" t="s">
        <v>93</v>
      </c>
      <c r="D259" s="266"/>
      <c r="E259" s="266">
        <v>2</v>
      </c>
      <c r="F259" s="275">
        <v>3.2090000000000001</v>
      </c>
      <c r="G259" s="275">
        <v>0.20200000000000001</v>
      </c>
      <c r="H259" s="275">
        <v>0</v>
      </c>
      <c r="I259" s="276">
        <v>4.53</v>
      </c>
      <c r="J259" s="276">
        <v>0</v>
      </c>
      <c r="K259" s="275">
        <v>0</v>
      </c>
      <c r="L259" s="266"/>
      <c r="M259" s="264"/>
    </row>
    <row r="260" spans="2:13" ht="27" customHeight="1">
      <c r="B260" s="261"/>
      <c r="C260" s="235" t="s">
        <v>129</v>
      </c>
      <c r="D260" s="266"/>
      <c r="E260" s="266">
        <v>2</v>
      </c>
      <c r="F260" s="275">
        <v>0.30399999999999999</v>
      </c>
      <c r="G260" s="275">
        <v>0</v>
      </c>
      <c r="H260" s="275">
        <v>0</v>
      </c>
      <c r="I260" s="276">
        <v>0</v>
      </c>
      <c r="J260" s="276">
        <v>0</v>
      </c>
      <c r="K260" s="275">
        <v>0</v>
      </c>
      <c r="L260" s="266"/>
      <c r="M260" s="264"/>
    </row>
    <row r="261" spans="2:13" ht="27" customHeight="1">
      <c r="B261" s="261"/>
      <c r="C261" s="235" t="s">
        <v>94</v>
      </c>
      <c r="D261" s="266"/>
      <c r="E261" s="266">
        <v>3</v>
      </c>
      <c r="F261" s="275">
        <v>2.3290000000000002</v>
      </c>
      <c r="G261" s="275">
        <v>0</v>
      </c>
      <c r="H261" s="275">
        <v>0</v>
      </c>
      <c r="I261" s="276">
        <v>7.6</v>
      </c>
      <c r="J261" s="276">
        <v>0</v>
      </c>
      <c r="K261" s="275">
        <v>0</v>
      </c>
      <c r="L261" s="266"/>
      <c r="M261" s="264"/>
    </row>
    <row r="262" spans="2:13" ht="27" customHeight="1">
      <c r="B262" s="261"/>
      <c r="C262" s="235" t="s">
        <v>95</v>
      </c>
      <c r="D262" s="266"/>
      <c r="E262" s="266">
        <v>4</v>
      </c>
      <c r="F262" s="275">
        <v>3</v>
      </c>
      <c r="G262" s="275">
        <v>0.26</v>
      </c>
      <c r="H262" s="275">
        <v>0</v>
      </c>
      <c r="I262" s="276">
        <v>7.6</v>
      </c>
      <c r="J262" s="276">
        <v>0</v>
      </c>
      <c r="K262" s="275">
        <v>0</v>
      </c>
      <c r="L262" s="266"/>
      <c r="M262" s="264"/>
    </row>
    <row r="263" spans="2:13" ht="27" customHeight="1">
      <c r="B263" s="261"/>
      <c r="C263" s="235" t="s">
        <v>130</v>
      </c>
      <c r="D263" s="266"/>
      <c r="E263" s="266">
        <v>4</v>
      </c>
      <c r="F263" s="275">
        <v>0.314</v>
      </c>
      <c r="G263" s="275">
        <v>0</v>
      </c>
      <c r="H263" s="275">
        <v>0</v>
      </c>
      <c r="I263" s="276">
        <v>0</v>
      </c>
      <c r="J263" s="276">
        <v>0</v>
      </c>
      <c r="K263" s="275">
        <v>0</v>
      </c>
      <c r="L263" s="266"/>
      <c r="M263" s="264"/>
    </row>
    <row r="264" spans="2:13" ht="27" customHeight="1">
      <c r="B264" s="261"/>
      <c r="C264" s="235" t="s">
        <v>96</v>
      </c>
      <c r="D264" s="266"/>
      <c r="E264" s="266" t="s">
        <v>1247</v>
      </c>
      <c r="F264" s="275">
        <v>2.7970000000000002</v>
      </c>
      <c r="G264" s="275">
        <v>0.157</v>
      </c>
      <c r="H264" s="275">
        <v>0</v>
      </c>
      <c r="I264" s="276">
        <v>44.21</v>
      </c>
      <c r="J264" s="276">
        <v>0</v>
      </c>
      <c r="K264" s="275">
        <v>0</v>
      </c>
      <c r="L264" s="266"/>
      <c r="M264" s="264"/>
    </row>
    <row r="265" spans="2:13" ht="27" customHeight="1">
      <c r="B265" s="261"/>
      <c r="C265" s="235" t="s">
        <v>97</v>
      </c>
      <c r="D265" s="266"/>
      <c r="E265" s="266" t="s">
        <v>1247</v>
      </c>
      <c r="F265" s="275">
        <v>2.677</v>
      </c>
      <c r="G265" s="275">
        <v>0.14599999999999999</v>
      </c>
      <c r="H265" s="275">
        <v>0</v>
      </c>
      <c r="I265" s="276">
        <v>31.92</v>
      </c>
      <c r="J265" s="276">
        <v>0</v>
      </c>
      <c r="K265" s="275">
        <v>0</v>
      </c>
      <c r="L265" s="266"/>
      <c r="M265" s="264"/>
    </row>
    <row r="266" spans="2:13" ht="27" customHeight="1">
      <c r="B266" s="261"/>
      <c r="C266" s="235" t="s">
        <v>110</v>
      </c>
      <c r="D266" s="266"/>
      <c r="E266" s="266" t="s">
        <v>1247</v>
      </c>
      <c r="F266" s="275">
        <v>1.958</v>
      </c>
      <c r="G266" s="275">
        <v>8.8999999999999996E-2</v>
      </c>
      <c r="H266" s="275">
        <v>0</v>
      </c>
      <c r="I266" s="276">
        <v>165.21</v>
      </c>
      <c r="J266" s="276">
        <v>0</v>
      </c>
      <c r="K266" s="275">
        <v>0</v>
      </c>
      <c r="L266" s="266"/>
      <c r="M266" s="264"/>
    </row>
    <row r="267" spans="2:13" ht="27" customHeight="1">
      <c r="B267" s="261"/>
      <c r="C267" s="235" t="s">
        <v>1647</v>
      </c>
      <c r="D267" s="266"/>
      <c r="E267" s="266"/>
      <c r="F267" s="275">
        <v>17.715</v>
      </c>
      <c r="G267" s="275">
        <v>1.762</v>
      </c>
      <c r="H267" s="275">
        <v>0.161</v>
      </c>
      <c r="I267" s="276">
        <v>4.53</v>
      </c>
      <c r="J267" s="276">
        <v>0</v>
      </c>
      <c r="K267" s="275">
        <v>0</v>
      </c>
      <c r="L267" s="266"/>
      <c r="M267" s="264"/>
    </row>
    <row r="268" spans="2:13" ht="27" customHeight="1">
      <c r="B268" s="261"/>
      <c r="C268" s="235" t="s">
        <v>1646</v>
      </c>
      <c r="D268" s="266"/>
      <c r="E268" s="266"/>
      <c r="F268" s="275">
        <v>17.725000000000001</v>
      </c>
      <c r="G268" s="275">
        <v>1.7609999999999999</v>
      </c>
      <c r="H268" s="275">
        <v>0.161</v>
      </c>
      <c r="I268" s="276">
        <v>7.6</v>
      </c>
      <c r="J268" s="276">
        <v>0</v>
      </c>
      <c r="K268" s="275">
        <v>0</v>
      </c>
      <c r="L268" s="266"/>
      <c r="M268" s="264"/>
    </row>
    <row r="269" spans="2:13" ht="27" customHeight="1">
      <c r="B269" s="261"/>
      <c r="C269" s="235" t="s">
        <v>98</v>
      </c>
      <c r="D269" s="266"/>
      <c r="E269" s="266"/>
      <c r="F269" s="275">
        <v>13.702</v>
      </c>
      <c r="G269" s="275">
        <v>1.351</v>
      </c>
      <c r="H269" s="275">
        <v>0.11899999999999999</v>
      </c>
      <c r="I269" s="276">
        <v>11.37</v>
      </c>
      <c r="J269" s="276">
        <v>2.95</v>
      </c>
      <c r="K269" s="275">
        <v>0.48399999999999999</v>
      </c>
      <c r="L269" s="266"/>
      <c r="M269" s="264"/>
    </row>
    <row r="270" spans="2:13" ht="27" customHeight="1">
      <c r="B270" s="261"/>
      <c r="C270" s="235" t="s">
        <v>99</v>
      </c>
      <c r="D270" s="266"/>
      <c r="E270" s="266"/>
      <c r="F270" s="275">
        <v>10.901999999999999</v>
      </c>
      <c r="G270" s="275">
        <v>1.0569999999999999</v>
      </c>
      <c r="H270" s="275">
        <v>8.6999999999999994E-2</v>
      </c>
      <c r="I270" s="276">
        <v>8.76</v>
      </c>
      <c r="J270" s="276">
        <v>3.33</v>
      </c>
      <c r="K270" s="275">
        <v>0.42299999999999999</v>
      </c>
      <c r="L270" s="266"/>
      <c r="M270" s="264"/>
    </row>
    <row r="271" spans="2:13" ht="27" customHeight="1">
      <c r="B271" s="261"/>
      <c r="C271" s="235" t="s">
        <v>111</v>
      </c>
      <c r="D271" s="266"/>
      <c r="E271" s="266"/>
      <c r="F271" s="275">
        <v>10.113</v>
      </c>
      <c r="G271" s="275">
        <v>0.97499999999999998</v>
      </c>
      <c r="H271" s="275">
        <v>7.2999999999999995E-2</v>
      </c>
      <c r="I271" s="276">
        <v>86.86</v>
      </c>
      <c r="J271" s="276">
        <v>3.45</v>
      </c>
      <c r="K271" s="275">
        <v>0.33300000000000002</v>
      </c>
      <c r="L271" s="266"/>
      <c r="M271" s="264"/>
    </row>
    <row r="272" spans="2:13" ht="27" customHeight="1">
      <c r="B272" s="261"/>
      <c r="C272" s="235" t="s">
        <v>131</v>
      </c>
      <c r="D272" s="266"/>
      <c r="E272" s="266">
        <v>8</v>
      </c>
      <c r="F272" s="275">
        <v>2.5219999999999998</v>
      </c>
      <c r="G272" s="275">
        <v>0</v>
      </c>
      <c r="H272" s="275">
        <v>0</v>
      </c>
      <c r="I272" s="276">
        <v>0</v>
      </c>
      <c r="J272" s="276">
        <v>0</v>
      </c>
      <c r="K272" s="275">
        <v>0</v>
      </c>
      <c r="L272" s="266"/>
      <c r="M272" s="264"/>
    </row>
    <row r="273" spans="2:13" ht="27" customHeight="1">
      <c r="B273" s="261"/>
      <c r="C273" s="235" t="s">
        <v>132</v>
      </c>
      <c r="D273" s="266"/>
      <c r="E273" s="266">
        <v>1</v>
      </c>
      <c r="F273" s="275">
        <v>2.8580000000000001</v>
      </c>
      <c r="G273" s="275">
        <v>0</v>
      </c>
      <c r="H273" s="275">
        <v>0</v>
      </c>
      <c r="I273" s="276">
        <v>0</v>
      </c>
      <c r="J273" s="276">
        <v>0</v>
      </c>
      <c r="K273" s="275">
        <v>0</v>
      </c>
      <c r="L273" s="266"/>
      <c r="M273" s="264"/>
    </row>
    <row r="274" spans="2:13" ht="27" customHeight="1">
      <c r="B274" s="261"/>
      <c r="C274" s="235" t="s">
        <v>133</v>
      </c>
      <c r="D274" s="266"/>
      <c r="E274" s="266">
        <v>1</v>
      </c>
      <c r="F274" s="275">
        <v>4.2590000000000003</v>
      </c>
      <c r="G274" s="275">
        <v>0</v>
      </c>
      <c r="H274" s="275">
        <v>0</v>
      </c>
      <c r="I274" s="276">
        <v>0</v>
      </c>
      <c r="J274" s="276">
        <v>0</v>
      </c>
      <c r="K274" s="275">
        <v>0</v>
      </c>
      <c r="L274" s="266"/>
      <c r="M274" s="264"/>
    </row>
    <row r="275" spans="2:13" ht="27" customHeight="1">
      <c r="B275" s="261"/>
      <c r="C275" s="235" t="s">
        <v>134</v>
      </c>
      <c r="D275" s="266"/>
      <c r="E275" s="266">
        <v>1</v>
      </c>
      <c r="F275" s="275">
        <v>2.2320000000000002</v>
      </c>
      <c r="G275" s="275">
        <v>0</v>
      </c>
      <c r="H275" s="275">
        <v>0</v>
      </c>
      <c r="I275" s="276">
        <v>0</v>
      </c>
      <c r="J275" s="276">
        <v>0</v>
      </c>
      <c r="K275" s="275">
        <v>0</v>
      </c>
      <c r="L275" s="266"/>
      <c r="M275" s="264"/>
    </row>
    <row r="276" spans="2:13" ht="27" customHeight="1">
      <c r="B276" s="261"/>
      <c r="C276" s="235" t="s">
        <v>135</v>
      </c>
      <c r="D276" s="266"/>
      <c r="E276" s="266"/>
      <c r="F276" s="275">
        <v>38.11</v>
      </c>
      <c r="G276" s="275">
        <v>2.5179999999999998</v>
      </c>
      <c r="H276" s="275">
        <v>0.94499999999999995</v>
      </c>
      <c r="I276" s="276">
        <v>0</v>
      </c>
      <c r="J276" s="276">
        <v>0</v>
      </c>
      <c r="K276" s="275">
        <v>0</v>
      </c>
      <c r="L276" s="266"/>
      <c r="M276" s="264"/>
    </row>
    <row r="277" spans="2:13" ht="27" customHeight="1">
      <c r="B277" s="261"/>
      <c r="C277" s="235" t="s">
        <v>1645</v>
      </c>
      <c r="D277" s="266"/>
      <c r="E277" s="266" t="s">
        <v>1638</v>
      </c>
      <c r="F277" s="275">
        <v>-0.85899999999999999</v>
      </c>
      <c r="G277" s="275">
        <v>0</v>
      </c>
      <c r="H277" s="275">
        <v>0</v>
      </c>
      <c r="I277" s="276">
        <v>0</v>
      </c>
      <c r="J277" s="276">
        <v>0</v>
      </c>
      <c r="K277" s="275">
        <v>0</v>
      </c>
      <c r="L277" s="266"/>
      <c r="M277" s="264"/>
    </row>
    <row r="278" spans="2:13" ht="27" customHeight="1">
      <c r="B278" s="261"/>
      <c r="C278" s="235" t="s">
        <v>100</v>
      </c>
      <c r="D278" s="266"/>
      <c r="E278" s="266">
        <v>8</v>
      </c>
      <c r="F278" s="275">
        <v>-0.78800000000000003</v>
      </c>
      <c r="G278" s="275">
        <v>0</v>
      </c>
      <c r="H278" s="275">
        <v>0</v>
      </c>
      <c r="I278" s="276">
        <v>0</v>
      </c>
      <c r="J278" s="276">
        <v>0</v>
      </c>
      <c r="K278" s="275">
        <v>0</v>
      </c>
      <c r="L278" s="266"/>
      <c r="M278" s="264"/>
    </row>
    <row r="279" spans="2:13" ht="27" customHeight="1">
      <c r="B279" s="261"/>
      <c r="C279" s="235" t="s">
        <v>101</v>
      </c>
      <c r="D279" s="266"/>
      <c r="E279" s="266"/>
      <c r="F279" s="275">
        <v>-0.85899999999999999</v>
      </c>
      <c r="G279" s="275">
        <v>0</v>
      </c>
      <c r="H279" s="275">
        <v>0</v>
      </c>
      <c r="I279" s="276">
        <v>0</v>
      </c>
      <c r="J279" s="276">
        <v>0</v>
      </c>
      <c r="K279" s="275">
        <v>0.28100000000000003</v>
      </c>
      <c r="L279" s="266"/>
      <c r="M279" s="264"/>
    </row>
    <row r="280" spans="2:13" ht="27" customHeight="1">
      <c r="B280" s="261"/>
      <c r="C280" s="235" t="s">
        <v>102</v>
      </c>
      <c r="D280" s="266"/>
      <c r="E280" s="266"/>
      <c r="F280" s="275">
        <v>-6.9189999999999996</v>
      </c>
      <c r="G280" s="275">
        <v>-0.68</v>
      </c>
      <c r="H280" s="275">
        <v>-0.104</v>
      </c>
      <c r="I280" s="276">
        <v>0</v>
      </c>
      <c r="J280" s="276">
        <v>0</v>
      </c>
      <c r="K280" s="275">
        <v>0.28100000000000003</v>
      </c>
      <c r="L280" s="266"/>
      <c r="M280" s="264"/>
    </row>
    <row r="281" spans="2:13" ht="27" customHeight="1">
      <c r="B281" s="261"/>
      <c r="C281" s="235" t="s">
        <v>103</v>
      </c>
      <c r="D281" s="266"/>
      <c r="E281" s="266"/>
      <c r="F281" s="275">
        <v>-0.78800000000000003</v>
      </c>
      <c r="G281" s="275">
        <v>0</v>
      </c>
      <c r="H281" s="275">
        <v>0</v>
      </c>
      <c r="I281" s="276">
        <v>0</v>
      </c>
      <c r="J281" s="276">
        <v>0</v>
      </c>
      <c r="K281" s="275">
        <v>0.246</v>
      </c>
      <c r="L281" s="266"/>
      <c r="M281" s="264"/>
    </row>
    <row r="282" spans="2:13" ht="27" customHeight="1">
      <c r="B282" s="261"/>
      <c r="C282" s="235" t="s">
        <v>104</v>
      </c>
      <c r="D282" s="266"/>
      <c r="E282" s="266"/>
      <c r="F282" s="275">
        <v>-6.3630000000000004</v>
      </c>
      <c r="G282" s="275">
        <v>-0.61899999999999999</v>
      </c>
      <c r="H282" s="275">
        <v>-9.6000000000000002E-2</v>
      </c>
      <c r="I282" s="276">
        <v>0</v>
      </c>
      <c r="J282" s="276">
        <v>0</v>
      </c>
      <c r="K282" s="275">
        <v>0.246</v>
      </c>
      <c r="L282" s="266"/>
      <c r="M282" s="264"/>
    </row>
    <row r="283" spans="2:13" ht="27" customHeight="1">
      <c r="B283" s="261"/>
      <c r="C283" s="235" t="s">
        <v>112</v>
      </c>
      <c r="D283" s="266"/>
      <c r="E283" s="266"/>
      <c r="F283" s="275">
        <v>-0.54600000000000004</v>
      </c>
      <c r="G283" s="275">
        <v>0</v>
      </c>
      <c r="H283" s="275">
        <v>0</v>
      </c>
      <c r="I283" s="276">
        <v>41.88</v>
      </c>
      <c r="J283" s="276">
        <v>0</v>
      </c>
      <c r="K283" s="275">
        <v>0.20100000000000001</v>
      </c>
      <c r="L283" s="266"/>
      <c r="M283" s="264"/>
    </row>
    <row r="284" spans="2:13" ht="27" customHeight="1">
      <c r="B284" s="261"/>
      <c r="C284" s="235" t="s">
        <v>113</v>
      </c>
      <c r="D284" s="266"/>
      <c r="E284" s="266"/>
      <c r="F284" s="275">
        <v>-4.4969999999999999</v>
      </c>
      <c r="G284" s="275">
        <v>-0.41299999999999998</v>
      </c>
      <c r="H284" s="275">
        <v>-6.8000000000000005E-2</v>
      </c>
      <c r="I284" s="276">
        <v>41.88</v>
      </c>
      <c r="J284" s="276">
        <v>0</v>
      </c>
      <c r="K284" s="275">
        <v>0.20100000000000001</v>
      </c>
      <c r="L284" s="266"/>
      <c r="M284" s="264"/>
    </row>
    <row r="285" spans="2:13" ht="27" customHeight="1">
      <c r="B285" s="261"/>
      <c r="C285" s="235" t="s">
        <v>147</v>
      </c>
      <c r="D285" s="266"/>
      <c r="E285" s="266">
        <v>1</v>
      </c>
      <c r="F285" s="275">
        <v>2.0150000000000001</v>
      </c>
      <c r="G285" s="275">
        <v>0</v>
      </c>
      <c r="H285" s="275">
        <v>0</v>
      </c>
      <c r="I285" s="276">
        <v>3.08</v>
      </c>
      <c r="J285" s="276">
        <v>0</v>
      </c>
      <c r="K285" s="275">
        <v>0</v>
      </c>
      <c r="L285" s="266"/>
      <c r="M285" s="264"/>
    </row>
    <row r="286" spans="2:13" ht="27" customHeight="1">
      <c r="B286" s="261"/>
      <c r="C286" s="235" t="s">
        <v>150</v>
      </c>
      <c r="D286" s="266"/>
      <c r="E286" s="266">
        <v>2</v>
      </c>
      <c r="F286" s="275">
        <v>2.1829999999999998</v>
      </c>
      <c r="G286" s="275">
        <v>0.13700000000000001</v>
      </c>
      <c r="H286" s="275">
        <v>0</v>
      </c>
      <c r="I286" s="276">
        <v>3.08</v>
      </c>
      <c r="J286" s="276">
        <v>0</v>
      </c>
      <c r="K286" s="275">
        <v>0</v>
      </c>
      <c r="L286" s="266"/>
      <c r="M286" s="264"/>
    </row>
    <row r="287" spans="2:13" ht="27" customHeight="1">
      <c r="B287" s="261"/>
      <c r="C287" s="235" t="s">
        <v>153</v>
      </c>
      <c r="D287" s="266"/>
      <c r="E287" s="266">
        <v>2</v>
      </c>
      <c r="F287" s="275">
        <v>0.20699999999999999</v>
      </c>
      <c r="G287" s="275">
        <v>0</v>
      </c>
      <c r="H287" s="275">
        <v>0</v>
      </c>
      <c r="I287" s="276">
        <v>0</v>
      </c>
      <c r="J287" s="276">
        <v>0</v>
      </c>
      <c r="K287" s="275">
        <v>0</v>
      </c>
      <c r="L287" s="266"/>
      <c r="M287" s="264"/>
    </row>
    <row r="288" spans="2:13" ht="27" customHeight="1">
      <c r="B288" s="261"/>
      <c r="C288" s="235" t="s">
        <v>156</v>
      </c>
      <c r="D288" s="266"/>
      <c r="E288" s="266">
        <v>3</v>
      </c>
      <c r="F288" s="275">
        <v>1.585</v>
      </c>
      <c r="G288" s="275">
        <v>0</v>
      </c>
      <c r="H288" s="275">
        <v>0</v>
      </c>
      <c r="I288" s="276">
        <v>5.17</v>
      </c>
      <c r="J288" s="276">
        <v>0</v>
      </c>
      <c r="K288" s="275">
        <v>0</v>
      </c>
      <c r="L288" s="266"/>
      <c r="M288" s="264"/>
    </row>
    <row r="289" spans="2:13" ht="27" customHeight="1">
      <c r="B289" s="261"/>
      <c r="C289" s="235" t="s">
        <v>159</v>
      </c>
      <c r="D289" s="266"/>
      <c r="E289" s="266">
        <v>4</v>
      </c>
      <c r="F289" s="275">
        <v>2.0409999999999999</v>
      </c>
      <c r="G289" s="275">
        <v>0.17699999999999999</v>
      </c>
      <c r="H289" s="275">
        <v>0</v>
      </c>
      <c r="I289" s="276">
        <v>5.17</v>
      </c>
      <c r="J289" s="276">
        <v>0</v>
      </c>
      <c r="K289" s="275">
        <v>0</v>
      </c>
      <c r="L289" s="266"/>
      <c r="M289" s="264"/>
    </row>
    <row r="290" spans="2:13" ht="27" customHeight="1">
      <c r="B290" s="261"/>
      <c r="C290" s="235" t="s">
        <v>162</v>
      </c>
      <c r="D290" s="266"/>
      <c r="E290" s="266">
        <v>4</v>
      </c>
      <c r="F290" s="275">
        <v>0.214</v>
      </c>
      <c r="G290" s="275">
        <v>0</v>
      </c>
      <c r="H290" s="275">
        <v>0</v>
      </c>
      <c r="I290" s="276">
        <v>0</v>
      </c>
      <c r="J290" s="276">
        <v>0</v>
      </c>
      <c r="K290" s="275">
        <v>0</v>
      </c>
      <c r="L290" s="266"/>
      <c r="M290" s="264"/>
    </row>
    <row r="291" spans="2:13" ht="27" customHeight="1">
      <c r="B291" s="261"/>
      <c r="C291" s="235" t="s">
        <v>165</v>
      </c>
      <c r="D291" s="266"/>
      <c r="E291" s="266" t="s">
        <v>1247</v>
      </c>
      <c r="F291" s="275">
        <v>1.903</v>
      </c>
      <c r="G291" s="275">
        <v>0.107</v>
      </c>
      <c r="H291" s="275">
        <v>0</v>
      </c>
      <c r="I291" s="276">
        <v>30.08</v>
      </c>
      <c r="J291" s="276">
        <v>0</v>
      </c>
      <c r="K291" s="275">
        <v>0</v>
      </c>
      <c r="L291" s="266"/>
      <c r="M291" s="264"/>
    </row>
    <row r="292" spans="2:13" ht="27" customHeight="1">
      <c r="B292" s="261"/>
      <c r="C292" s="235" t="s">
        <v>1644</v>
      </c>
      <c r="D292" s="266"/>
      <c r="E292" s="266"/>
      <c r="F292" s="275">
        <v>12.053000000000001</v>
      </c>
      <c r="G292" s="275">
        <v>1.1990000000000001</v>
      </c>
      <c r="H292" s="275">
        <v>0.11</v>
      </c>
      <c r="I292" s="276">
        <v>3.08</v>
      </c>
      <c r="J292" s="276">
        <v>0</v>
      </c>
      <c r="K292" s="275">
        <v>0</v>
      </c>
      <c r="L292" s="266"/>
      <c r="M292" s="264"/>
    </row>
    <row r="293" spans="2:13" ht="27" customHeight="1">
      <c r="B293" s="261"/>
      <c r="C293" s="235" t="s">
        <v>1643</v>
      </c>
      <c r="D293" s="266"/>
      <c r="E293" s="266"/>
      <c r="F293" s="275">
        <v>12.058999999999999</v>
      </c>
      <c r="G293" s="275">
        <v>1.198</v>
      </c>
      <c r="H293" s="275">
        <v>0.11</v>
      </c>
      <c r="I293" s="276">
        <v>5.17</v>
      </c>
      <c r="J293" s="276">
        <v>0</v>
      </c>
      <c r="K293" s="275">
        <v>0</v>
      </c>
      <c r="L293" s="266"/>
      <c r="M293" s="264"/>
    </row>
    <row r="294" spans="2:13" ht="27" customHeight="1">
      <c r="B294" s="261"/>
      <c r="C294" s="235" t="s">
        <v>170</v>
      </c>
      <c r="D294" s="266"/>
      <c r="E294" s="266"/>
      <c r="F294" s="275">
        <v>9.3219999999999992</v>
      </c>
      <c r="G294" s="275">
        <v>0.91900000000000004</v>
      </c>
      <c r="H294" s="275">
        <v>8.1000000000000003E-2</v>
      </c>
      <c r="I294" s="276">
        <v>7.74</v>
      </c>
      <c r="J294" s="276">
        <v>2.0099999999999998</v>
      </c>
      <c r="K294" s="275">
        <v>0.32900000000000001</v>
      </c>
      <c r="L294" s="266"/>
      <c r="M294" s="264"/>
    </row>
    <row r="295" spans="2:13" ht="27" customHeight="1">
      <c r="B295" s="261"/>
      <c r="C295" s="235" t="s">
        <v>177</v>
      </c>
      <c r="D295" s="266"/>
      <c r="E295" s="266">
        <v>8</v>
      </c>
      <c r="F295" s="275">
        <v>1.716</v>
      </c>
      <c r="G295" s="275">
        <v>0</v>
      </c>
      <c r="H295" s="275">
        <v>0</v>
      </c>
      <c r="I295" s="276">
        <v>0</v>
      </c>
      <c r="J295" s="276">
        <v>0</v>
      </c>
      <c r="K295" s="275">
        <v>0</v>
      </c>
      <c r="L295" s="266"/>
      <c r="M295" s="264"/>
    </row>
    <row r="296" spans="2:13" ht="27" customHeight="1">
      <c r="B296" s="261"/>
      <c r="C296" s="235" t="s">
        <v>180</v>
      </c>
      <c r="D296" s="266"/>
      <c r="E296" s="266">
        <v>1</v>
      </c>
      <c r="F296" s="275">
        <v>1.944</v>
      </c>
      <c r="G296" s="275">
        <v>0</v>
      </c>
      <c r="H296" s="275">
        <v>0</v>
      </c>
      <c r="I296" s="276">
        <v>0</v>
      </c>
      <c r="J296" s="276">
        <v>0</v>
      </c>
      <c r="K296" s="275">
        <v>0</v>
      </c>
      <c r="L296" s="266"/>
      <c r="M296" s="264"/>
    </row>
    <row r="297" spans="2:13" ht="27" customHeight="1">
      <c r="B297" s="261"/>
      <c r="C297" s="235" t="s">
        <v>183</v>
      </c>
      <c r="D297" s="266"/>
      <c r="E297" s="266">
        <v>1</v>
      </c>
      <c r="F297" s="275">
        <v>2.8980000000000001</v>
      </c>
      <c r="G297" s="275">
        <v>0</v>
      </c>
      <c r="H297" s="275">
        <v>0</v>
      </c>
      <c r="I297" s="276">
        <v>0</v>
      </c>
      <c r="J297" s="276">
        <v>0</v>
      </c>
      <c r="K297" s="275">
        <v>0</v>
      </c>
      <c r="L297" s="266"/>
      <c r="M297" s="264"/>
    </row>
    <row r="298" spans="2:13" ht="27" customHeight="1">
      <c r="B298" s="261"/>
      <c r="C298" s="235" t="s">
        <v>186</v>
      </c>
      <c r="D298" s="266"/>
      <c r="E298" s="266">
        <v>1</v>
      </c>
      <c r="F298" s="275">
        <v>1.5189999999999999</v>
      </c>
      <c r="G298" s="275">
        <v>0</v>
      </c>
      <c r="H298" s="275">
        <v>0</v>
      </c>
      <c r="I298" s="276">
        <v>0</v>
      </c>
      <c r="J298" s="276">
        <v>0</v>
      </c>
      <c r="K298" s="275">
        <v>0</v>
      </c>
      <c r="L298" s="266"/>
      <c r="M298" s="264"/>
    </row>
    <row r="299" spans="2:13" ht="27" customHeight="1">
      <c r="B299" s="261"/>
      <c r="C299" s="235" t="s">
        <v>189</v>
      </c>
      <c r="D299" s="266"/>
      <c r="E299" s="266"/>
      <c r="F299" s="275">
        <v>25.928999999999998</v>
      </c>
      <c r="G299" s="275">
        <v>1.7130000000000001</v>
      </c>
      <c r="H299" s="275">
        <v>0.64300000000000002</v>
      </c>
      <c r="I299" s="276">
        <v>0</v>
      </c>
      <c r="J299" s="276">
        <v>0</v>
      </c>
      <c r="K299" s="275">
        <v>0</v>
      </c>
      <c r="L299" s="266"/>
      <c r="M299" s="264"/>
    </row>
    <row r="300" spans="2:13" ht="27" customHeight="1">
      <c r="B300" s="261"/>
      <c r="C300" s="235" t="s">
        <v>1642</v>
      </c>
      <c r="D300" s="266"/>
      <c r="E300" s="266" t="s">
        <v>1638</v>
      </c>
      <c r="F300" s="275">
        <v>-0.85899999999999999</v>
      </c>
      <c r="G300" s="275">
        <v>0</v>
      </c>
      <c r="H300" s="275">
        <v>0</v>
      </c>
      <c r="I300" s="276">
        <v>0</v>
      </c>
      <c r="J300" s="276">
        <v>0</v>
      </c>
      <c r="K300" s="275">
        <v>0</v>
      </c>
      <c r="L300" s="266"/>
      <c r="M300" s="264"/>
    </row>
    <row r="301" spans="2:13" ht="27" customHeight="1">
      <c r="B301" s="261"/>
      <c r="C301" s="235" t="s">
        <v>194</v>
      </c>
      <c r="D301" s="266"/>
      <c r="E301" s="266"/>
      <c r="F301" s="275">
        <v>-0.85899999999999999</v>
      </c>
      <c r="G301" s="275">
        <v>0</v>
      </c>
      <c r="H301" s="275">
        <v>0</v>
      </c>
      <c r="I301" s="276">
        <v>0</v>
      </c>
      <c r="J301" s="276">
        <v>0</v>
      </c>
      <c r="K301" s="275">
        <v>0.28100000000000003</v>
      </c>
      <c r="L301" s="266"/>
      <c r="M301" s="264"/>
    </row>
    <row r="302" spans="2:13" ht="27" customHeight="1">
      <c r="B302" s="261"/>
      <c r="C302" s="235" t="s">
        <v>197</v>
      </c>
      <c r="D302" s="266"/>
      <c r="E302" s="266"/>
      <c r="F302" s="275">
        <v>-6.9189999999999996</v>
      </c>
      <c r="G302" s="275">
        <v>-0.68</v>
      </c>
      <c r="H302" s="275">
        <v>-0.104</v>
      </c>
      <c r="I302" s="276">
        <v>0</v>
      </c>
      <c r="J302" s="276">
        <v>0</v>
      </c>
      <c r="K302" s="275">
        <v>0.28100000000000003</v>
      </c>
      <c r="L302" s="266"/>
      <c r="M302" s="264"/>
    </row>
    <row r="303" spans="2:13" ht="27" customHeight="1">
      <c r="B303" s="261"/>
      <c r="C303" s="235" t="s">
        <v>148</v>
      </c>
      <c r="D303" s="266"/>
      <c r="E303" s="266">
        <v>1</v>
      </c>
      <c r="F303" s="275">
        <v>1.07</v>
      </c>
      <c r="G303" s="275">
        <v>0</v>
      </c>
      <c r="H303" s="275">
        <v>0</v>
      </c>
      <c r="I303" s="276">
        <v>1.64</v>
      </c>
      <c r="J303" s="276">
        <v>0</v>
      </c>
      <c r="K303" s="275">
        <v>0</v>
      </c>
      <c r="L303" s="266"/>
      <c r="M303" s="264"/>
    </row>
    <row r="304" spans="2:13" ht="27" customHeight="1">
      <c r="B304" s="261"/>
      <c r="C304" s="235" t="s">
        <v>151</v>
      </c>
      <c r="D304" s="266"/>
      <c r="E304" s="266">
        <v>2</v>
      </c>
      <c r="F304" s="275">
        <v>1.1599999999999999</v>
      </c>
      <c r="G304" s="275">
        <v>7.2999999999999995E-2</v>
      </c>
      <c r="H304" s="275">
        <v>0</v>
      </c>
      <c r="I304" s="276">
        <v>1.64</v>
      </c>
      <c r="J304" s="276">
        <v>0</v>
      </c>
      <c r="K304" s="275">
        <v>0</v>
      </c>
      <c r="L304" s="266"/>
      <c r="M304" s="264"/>
    </row>
    <row r="305" spans="2:13" ht="27" customHeight="1">
      <c r="B305" s="261"/>
      <c r="C305" s="235" t="s">
        <v>154</v>
      </c>
      <c r="D305" s="266"/>
      <c r="E305" s="266">
        <v>2</v>
      </c>
      <c r="F305" s="275">
        <v>0.11</v>
      </c>
      <c r="G305" s="275">
        <v>0</v>
      </c>
      <c r="H305" s="275">
        <v>0</v>
      </c>
      <c r="I305" s="276">
        <v>0</v>
      </c>
      <c r="J305" s="276">
        <v>0</v>
      </c>
      <c r="K305" s="275">
        <v>0</v>
      </c>
      <c r="L305" s="266"/>
      <c r="M305" s="264"/>
    </row>
    <row r="306" spans="2:13" ht="27" customHeight="1">
      <c r="B306" s="261"/>
      <c r="C306" s="235" t="s">
        <v>157</v>
      </c>
      <c r="D306" s="266"/>
      <c r="E306" s="266">
        <v>3</v>
      </c>
      <c r="F306" s="275">
        <v>0.84199999999999997</v>
      </c>
      <c r="G306" s="275">
        <v>0</v>
      </c>
      <c r="H306" s="275">
        <v>0</v>
      </c>
      <c r="I306" s="276">
        <v>2.75</v>
      </c>
      <c r="J306" s="276">
        <v>0</v>
      </c>
      <c r="K306" s="275">
        <v>0</v>
      </c>
      <c r="L306" s="266"/>
      <c r="M306" s="264"/>
    </row>
    <row r="307" spans="2:13" ht="27" customHeight="1">
      <c r="B307" s="261"/>
      <c r="C307" s="235" t="s">
        <v>160</v>
      </c>
      <c r="D307" s="266"/>
      <c r="E307" s="266">
        <v>4</v>
      </c>
      <c r="F307" s="275">
        <v>1.085</v>
      </c>
      <c r="G307" s="275">
        <v>9.4E-2</v>
      </c>
      <c r="H307" s="275">
        <v>0</v>
      </c>
      <c r="I307" s="276">
        <v>2.75</v>
      </c>
      <c r="J307" s="276">
        <v>0</v>
      </c>
      <c r="K307" s="275">
        <v>0</v>
      </c>
      <c r="L307" s="266"/>
      <c r="M307" s="264"/>
    </row>
    <row r="308" spans="2:13" ht="27" customHeight="1">
      <c r="B308" s="261"/>
      <c r="C308" s="235" t="s">
        <v>163</v>
      </c>
      <c r="D308" s="266"/>
      <c r="E308" s="266">
        <v>4</v>
      </c>
      <c r="F308" s="275">
        <v>0.114</v>
      </c>
      <c r="G308" s="275">
        <v>0</v>
      </c>
      <c r="H308" s="275">
        <v>0</v>
      </c>
      <c r="I308" s="276">
        <v>0</v>
      </c>
      <c r="J308" s="276">
        <v>0</v>
      </c>
      <c r="K308" s="275">
        <v>0</v>
      </c>
      <c r="L308" s="266"/>
      <c r="M308" s="264"/>
    </row>
    <row r="309" spans="2:13" ht="27" customHeight="1">
      <c r="B309" s="261"/>
      <c r="C309" s="235" t="s">
        <v>166</v>
      </c>
      <c r="D309" s="266"/>
      <c r="E309" s="266" t="s">
        <v>1247</v>
      </c>
      <c r="F309" s="275">
        <v>1.0109999999999999</v>
      </c>
      <c r="G309" s="275">
        <v>5.7000000000000002E-2</v>
      </c>
      <c r="H309" s="275">
        <v>0</v>
      </c>
      <c r="I309" s="276">
        <v>15.98</v>
      </c>
      <c r="J309" s="276">
        <v>0</v>
      </c>
      <c r="K309" s="275">
        <v>0</v>
      </c>
      <c r="L309" s="266"/>
      <c r="M309" s="264"/>
    </row>
    <row r="310" spans="2:13" ht="27" customHeight="1">
      <c r="B310" s="261"/>
      <c r="C310" s="235" t="s">
        <v>1641</v>
      </c>
      <c r="D310" s="266"/>
      <c r="E310" s="266"/>
      <c r="F310" s="275">
        <v>6.4050000000000002</v>
      </c>
      <c r="G310" s="275">
        <v>0.63700000000000001</v>
      </c>
      <c r="H310" s="275">
        <v>5.8000000000000003E-2</v>
      </c>
      <c r="I310" s="276">
        <v>1.64</v>
      </c>
      <c r="J310" s="276">
        <v>0</v>
      </c>
      <c r="K310" s="275">
        <v>0</v>
      </c>
      <c r="L310" s="266"/>
      <c r="M310" s="264"/>
    </row>
    <row r="311" spans="2:13" ht="27" customHeight="1">
      <c r="B311" s="261"/>
      <c r="C311" s="235" t="s">
        <v>1640</v>
      </c>
      <c r="D311" s="266"/>
      <c r="E311" s="266"/>
      <c r="F311" s="275">
        <v>6.4080000000000004</v>
      </c>
      <c r="G311" s="275">
        <v>0.63700000000000001</v>
      </c>
      <c r="H311" s="275">
        <v>5.8000000000000003E-2</v>
      </c>
      <c r="I311" s="276">
        <v>2.75</v>
      </c>
      <c r="J311" s="276">
        <v>0</v>
      </c>
      <c r="K311" s="275">
        <v>0</v>
      </c>
      <c r="L311" s="266"/>
      <c r="M311" s="264"/>
    </row>
    <row r="312" spans="2:13" ht="27" customHeight="1">
      <c r="B312" s="261"/>
      <c r="C312" s="235" t="s">
        <v>171</v>
      </c>
      <c r="D312" s="266"/>
      <c r="E312" s="266"/>
      <c r="F312" s="275">
        <v>4.9539999999999997</v>
      </c>
      <c r="G312" s="275">
        <v>0.48799999999999999</v>
      </c>
      <c r="H312" s="275">
        <v>4.2999999999999997E-2</v>
      </c>
      <c r="I312" s="276">
        <v>4.1100000000000003</v>
      </c>
      <c r="J312" s="276">
        <v>1.07</v>
      </c>
      <c r="K312" s="275">
        <v>0.17499999999999999</v>
      </c>
      <c r="L312" s="266"/>
      <c r="M312" s="264"/>
    </row>
    <row r="313" spans="2:13" ht="27" customHeight="1">
      <c r="B313" s="261"/>
      <c r="C313" s="235" t="s">
        <v>173</v>
      </c>
      <c r="D313" s="266"/>
      <c r="E313" s="266"/>
      <c r="F313" s="275">
        <v>5.9580000000000002</v>
      </c>
      <c r="G313" s="275">
        <v>0.57799999999999996</v>
      </c>
      <c r="H313" s="275">
        <v>4.8000000000000001E-2</v>
      </c>
      <c r="I313" s="276">
        <v>4.79</v>
      </c>
      <c r="J313" s="276">
        <v>1.82</v>
      </c>
      <c r="K313" s="275">
        <v>0.23100000000000001</v>
      </c>
      <c r="L313" s="266"/>
      <c r="M313" s="264"/>
    </row>
    <row r="314" spans="2:13" ht="27" customHeight="1">
      <c r="B314" s="261"/>
      <c r="C314" s="235" t="s">
        <v>175</v>
      </c>
      <c r="D314" s="266"/>
      <c r="E314" s="266"/>
      <c r="F314" s="275">
        <v>6.63</v>
      </c>
      <c r="G314" s="275">
        <v>0.63900000000000001</v>
      </c>
      <c r="H314" s="275">
        <v>4.8000000000000001E-2</v>
      </c>
      <c r="I314" s="276">
        <v>56.94</v>
      </c>
      <c r="J314" s="276">
        <v>2.2599999999999998</v>
      </c>
      <c r="K314" s="275">
        <v>0.218</v>
      </c>
      <c r="L314" s="266"/>
      <c r="M314" s="264"/>
    </row>
    <row r="315" spans="2:13" ht="27" customHeight="1">
      <c r="B315" s="261"/>
      <c r="C315" s="235" t="s">
        <v>178</v>
      </c>
      <c r="D315" s="266"/>
      <c r="E315" s="266">
        <v>8</v>
      </c>
      <c r="F315" s="275">
        <v>0.91200000000000003</v>
      </c>
      <c r="G315" s="275">
        <v>0</v>
      </c>
      <c r="H315" s="275">
        <v>0</v>
      </c>
      <c r="I315" s="276">
        <v>0</v>
      </c>
      <c r="J315" s="276">
        <v>0</v>
      </c>
      <c r="K315" s="275">
        <v>0</v>
      </c>
      <c r="L315" s="266"/>
      <c r="M315" s="264"/>
    </row>
    <row r="316" spans="2:13" ht="27" customHeight="1">
      <c r="B316" s="261"/>
      <c r="C316" s="235" t="s">
        <v>181</v>
      </c>
      <c r="D316" s="266"/>
      <c r="E316" s="266">
        <v>1</v>
      </c>
      <c r="F316" s="275">
        <v>1.0329999999999999</v>
      </c>
      <c r="G316" s="275">
        <v>0</v>
      </c>
      <c r="H316" s="275">
        <v>0</v>
      </c>
      <c r="I316" s="276">
        <v>0</v>
      </c>
      <c r="J316" s="276">
        <v>0</v>
      </c>
      <c r="K316" s="275">
        <v>0</v>
      </c>
      <c r="L316" s="266"/>
      <c r="M316" s="264"/>
    </row>
    <row r="317" spans="2:13" ht="27" customHeight="1">
      <c r="B317" s="261"/>
      <c r="C317" s="235" t="s">
        <v>184</v>
      </c>
      <c r="D317" s="266"/>
      <c r="E317" s="266">
        <v>1</v>
      </c>
      <c r="F317" s="275">
        <v>1.54</v>
      </c>
      <c r="G317" s="275">
        <v>0</v>
      </c>
      <c r="H317" s="275">
        <v>0</v>
      </c>
      <c r="I317" s="276">
        <v>0</v>
      </c>
      <c r="J317" s="276">
        <v>0</v>
      </c>
      <c r="K317" s="275">
        <v>0</v>
      </c>
      <c r="L317" s="266"/>
      <c r="M317" s="264"/>
    </row>
    <row r="318" spans="2:13" ht="27" customHeight="1">
      <c r="B318" s="261"/>
      <c r="C318" s="235" t="s">
        <v>187</v>
      </c>
      <c r="D318" s="266"/>
      <c r="E318" s="266">
        <v>1</v>
      </c>
      <c r="F318" s="275">
        <v>0.80700000000000005</v>
      </c>
      <c r="G318" s="275">
        <v>0</v>
      </c>
      <c r="H318" s="275">
        <v>0</v>
      </c>
      <c r="I318" s="276">
        <v>0</v>
      </c>
      <c r="J318" s="276">
        <v>0</v>
      </c>
      <c r="K318" s="275">
        <v>0</v>
      </c>
      <c r="L318" s="266"/>
      <c r="M318" s="264"/>
    </row>
    <row r="319" spans="2:13" ht="27" customHeight="1">
      <c r="B319" s="261"/>
      <c r="C319" s="235" t="s">
        <v>190</v>
      </c>
      <c r="D319" s="266"/>
      <c r="E319" s="266"/>
      <c r="F319" s="275">
        <v>13.778</v>
      </c>
      <c r="G319" s="275">
        <v>0.91</v>
      </c>
      <c r="H319" s="275">
        <v>0.34200000000000003</v>
      </c>
      <c r="I319" s="276">
        <v>0</v>
      </c>
      <c r="J319" s="276">
        <v>0</v>
      </c>
      <c r="K319" s="275">
        <v>0</v>
      </c>
      <c r="L319" s="266"/>
      <c r="M319" s="264"/>
    </row>
    <row r="320" spans="2:13" ht="27" customHeight="1">
      <c r="B320" s="261"/>
      <c r="C320" s="235" t="s">
        <v>1639</v>
      </c>
      <c r="D320" s="266"/>
      <c r="E320" s="266" t="s">
        <v>1638</v>
      </c>
      <c r="F320" s="275">
        <v>-0.85899999999999999</v>
      </c>
      <c r="G320" s="275">
        <v>0</v>
      </c>
      <c r="H320" s="275">
        <v>0</v>
      </c>
      <c r="I320" s="276">
        <v>0</v>
      </c>
      <c r="J320" s="276">
        <v>0</v>
      </c>
      <c r="K320" s="275">
        <v>0</v>
      </c>
      <c r="L320" s="266"/>
      <c r="M320" s="264"/>
    </row>
    <row r="321" spans="2:13" ht="27" customHeight="1">
      <c r="B321" s="261"/>
      <c r="C321" s="235" t="s">
        <v>192</v>
      </c>
      <c r="D321" s="266"/>
      <c r="E321" s="266">
        <v>8</v>
      </c>
      <c r="F321" s="275">
        <v>-0.78800000000000003</v>
      </c>
      <c r="G321" s="275">
        <v>0</v>
      </c>
      <c r="H321" s="275">
        <v>0</v>
      </c>
      <c r="I321" s="276">
        <v>0</v>
      </c>
      <c r="J321" s="276">
        <v>0</v>
      </c>
      <c r="K321" s="275">
        <v>0</v>
      </c>
      <c r="L321" s="266"/>
      <c r="M321" s="264"/>
    </row>
    <row r="322" spans="2:13" ht="27" customHeight="1">
      <c r="B322" s="261"/>
      <c r="C322" s="235" t="s">
        <v>195</v>
      </c>
      <c r="D322" s="266"/>
      <c r="E322" s="266"/>
      <c r="F322" s="275">
        <v>-0.85899999999999999</v>
      </c>
      <c r="G322" s="275">
        <v>0</v>
      </c>
      <c r="H322" s="275">
        <v>0</v>
      </c>
      <c r="I322" s="276">
        <v>0</v>
      </c>
      <c r="J322" s="276">
        <v>0</v>
      </c>
      <c r="K322" s="275">
        <v>0.28100000000000003</v>
      </c>
      <c r="L322" s="266"/>
      <c r="M322" s="264"/>
    </row>
    <row r="323" spans="2:13" ht="27" customHeight="1">
      <c r="B323" s="261"/>
      <c r="C323" s="235" t="s">
        <v>198</v>
      </c>
      <c r="D323" s="266"/>
      <c r="E323" s="266"/>
      <c r="F323" s="275">
        <v>-6.9189999999999996</v>
      </c>
      <c r="G323" s="275">
        <v>-0.68</v>
      </c>
      <c r="H323" s="275">
        <v>-0.104</v>
      </c>
      <c r="I323" s="276">
        <v>0</v>
      </c>
      <c r="J323" s="276">
        <v>0</v>
      </c>
      <c r="K323" s="275">
        <v>0.28100000000000003</v>
      </c>
      <c r="L323" s="266"/>
      <c r="M323" s="264"/>
    </row>
    <row r="324" spans="2:13" ht="27" customHeight="1">
      <c r="B324" s="261"/>
      <c r="C324" s="235" t="s">
        <v>200</v>
      </c>
      <c r="D324" s="266"/>
      <c r="E324" s="266"/>
      <c r="F324" s="275">
        <v>-0.78800000000000003</v>
      </c>
      <c r="G324" s="275">
        <v>0</v>
      </c>
      <c r="H324" s="275">
        <v>0</v>
      </c>
      <c r="I324" s="276">
        <v>0</v>
      </c>
      <c r="J324" s="276">
        <v>0</v>
      </c>
      <c r="K324" s="275">
        <v>0.246</v>
      </c>
      <c r="L324" s="266"/>
      <c r="M324" s="264"/>
    </row>
    <row r="325" spans="2:13" ht="27" customHeight="1">
      <c r="B325" s="261"/>
      <c r="C325" s="235" t="s">
        <v>202</v>
      </c>
      <c r="D325" s="266"/>
      <c r="E325" s="266"/>
      <c r="F325" s="275">
        <v>-6.3630000000000004</v>
      </c>
      <c r="G325" s="275">
        <v>-0.61899999999999999</v>
      </c>
      <c r="H325" s="275">
        <v>-9.6000000000000002E-2</v>
      </c>
      <c r="I325" s="276">
        <v>0</v>
      </c>
      <c r="J325" s="276">
        <v>0</v>
      </c>
      <c r="K325" s="275">
        <v>0.246</v>
      </c>
      <c r="L325" s="266"/>
      <c r="M325" s="264"/>
    </row>
    <row r="326" spans="2:13" ht="27" customHeight="1">
      <c r="B326" s="261"/>
      <c r="C326" s="235" t="s">
        <v>204</v>
      </c>
      <c r="D326" s="266"/>
      <c r="E326" s="266"/>
      <c r="F326" s="275">
        <v>-0.54600000000000004</v>
      </c>
      <c r="G326" s="275">
        <v>0</v>
      </c>
      <c r="H326" s="275">
        <v>0</v>
      </c>
      <c r="I326" s="276">
        <v>0</v>
      </c>
      <c r="J326" s="276">
        <v>0</v>
      </c>
      <c r="K326" s="275">
        <v>0.20100000000000001</v>
      </c>
      <c r="L326" s="266"/>
      <c r="M326" s="264"/>
    </row>
    <row r="327" spans="2:13" ht="27" customHeight="1">
      <c r="B327" s="261"/>
      <c r="C327" s="235" t="s">
        <v>206</v>
      </c>
      <c r="D327" s="266"/>
      <c r="E327" s="266"/>
      <c r="F327" s="275">
        <v>-4.4969999999999999</v>
      </c>
      <c r="G327" s="275">
        <v>-0.41299999999999998</v>
      </c>
      <c r="H327" s="275">
        <v>-6.8000000000000005E-2</v>
      </c>
      <c r="I327" s="276">
        <v>0</v>
      </c>
      <c r="J327" s="276">
        <v>0</v>
      </c>
      <c r="K327" s="275">
        <v>0.20100000000000001</v>
      </c>
      <c r="L327" s="266"/>
      <c r="M327" s="264"/>
    </row>
    <row r="328" spans="2:13" ht="27" customHeight="1" thickBot="1">
      <c r="B328" s="267"/>
      <c r="C328" s="268"/>
      <c r="D328" s="268"/>
      <c r="E328" s="268"/>
      <c r="F328" s="268"/>
      <c r="G328" s="268"/>
      <c r="H328" s="268"/>
      <c r="I328" s="268"/>
      <c r="J328" s="268"/>
      <c r="K328" s="268"/>
      <c r="L328" s="268"/>
      <c r="M328" s="269"/>
    </row>
    <row r="329" spans="2:13" ht="27" customHeight="1"/>
    <row r="330" spans="2:13" ht="27" customHeight="1"/>
    <row r="331" spans="2:13" ht="27" customHeight="1" thickBot="1"/>
    <row r="332" spans="2:13" ht="27" customHeight="1">
      <c r="B332" s="257"/>
      <c r="C332" s="258"/>
      <c r="D332" s="259"/>
      <c r="E332" s="259"/>
      <c r="F332" s="259"/>
      <c r="G332" s="259"/>
      <c r="H332" s="259"/>
      <c r="I332" s="259"/>
      <c r="J332" s="259"/>
      <c r="K332" s="259"/>
      <c r="L332" s="259"/>
      <c r="M332" s="260"/>
    </row>
    <row r="333" spans="2:13" ht="27" customHeight="1">
      <c r="B333" s="261"/>
      <c r="C333" s="262" t="str">
        <f>"Tariffs for Charging Year: "&amp; " "&amp;D10&amp;""</f>
        <v>Tariffs for Charging Year:  2019/20</v>
      </c>
      <c r="D333" s="262"/>
      <c r="E333" s="262"/>
      <c r="F333" s="262"/>
      <c r="G333" s="262"/>
      <c r="H333" s="262"/>
      <c r="I333" s="263"/>
      <c r="J333" s="263"/>
      <c r="K333" s="263"/>
      <c r="L333" s="263"/>
      <c r="M333" s="264"/>
    </row>
    <row r="334" spans="2:13" ht="27" customHeight="1">
      <c r="B334" s="261"/>
      <c r="C334" s="247"/>
      <c r="D334" s="263"/>
      <c r="E334" s="263"/>
      <c r="F334" s="263"/>
      <c r="G334" s="263"/>
      <c r="H334" s="263"/>
      <c r="I334" s="263"/>
      <c r="J334" s="263"/>
      <c r="K334" s="263"/>
      <c r="L334" s="263"/>
      <c r="M334" s="264"/>
    </row>
    <row r="335" spans="2:13" ht="27" customHeight="1">
      <c r="B335" s="261"/>
      <c r="C335" s="247"/>
      <c r="D335" s="263"/>
      <c r="E335" s="263"/>
      <c r="F335" s="263"/>
      <c r="G335" s="263"/>
      <c r="H335" s="263"/>
      <c r="I335" s="263"/>
      <c r="J335" s="263"/>
      <c r="K335" s="263"/>
      <c r="L335" s="263"/>
      <c r="M335" s="264"/>
    </row>
    <row r="336" spans="2:13" ht="27" customHeight="1">
      <c r="B336" s="261"/>
      <c r="C336" s="265"/>
      <c r="D336" s="236" t="s">
        <v>1244</v>
      </c>
      <c r="E336" s="236" t="s">
        <v>1245</v>
      </c>
      <c r="F336" s="236" t="s">
        <v>1164</v>
      </c>
      <c r="G336" s="236" t="s">
        <v>1165</v>
      </c>
      <c r="H336" s="236" t="s">
        <v>1166</v>
      </c>
      <c r="I336" s="236" t="s">
        <v>1167</v>
      </c>
      <c r="J336" s="236" t="s">
        <v>1168</v>
      </c>
      <c r="K336" s="236" t="s">
        <v>791</v>
      </c>
      <c r="L336" s="236" t="s">
        <v>1246</v>
      </c>
      <c r="M336" s="264"/>
    </row>
    <row r="337" spans="2:13" ht="27" customHeight="1">
      <c r="B337" s="261"/>
      <c r="C337" s="235" t="s">
        <v>92</v>
      </c>
      <c r="D337" s="266"/>
      <c r="E337" s="266">
        <v>1</v>
      </c>
      <c r="F337" s="275">
        <v>3.0840000000000001</v>
      </c>
      <c r="G337" s="275">
        <v>0</v>
      </c>
      <c r="H337" s="275">
        <v>0</v>
      </c>
      <c r="I337" s="276">
        <v>4.6500000000000004</v>
      </c>
      <c r="J337" s="276">
        <v>0</v>
      </c>
      <c r="K337" s="275">
        <v>0</v>
      </c>
      <c r="L337" s="266"/>
      <c r="M337" s="264"/>
    </row>
    <row r="338" spans="2:13" ht="27" customHeight="1">
      <c r="B338" s="261"/>
      <c r="C338" s="235" t="s">
        <v>93</v>
      </c>
      <c r="D338" s="266"/>
      <c r="E338" s="266">
        <v>2</v>
      </c>
      <c r="F338" s="275">
        <v>3.343</v>
      </c>
      <c r="G338" s="275">
        <v>0.20899999999999999</v>
      </c>
      <c r="H338" s="275">
        <v>0</v>
      </c>
      <c r="I338" s="276">
        <v>4.6500000000000004</v>
      </c>
      <c r="J338" s="276">
        <v>0</v>
      </c>
      <c r="K338" s="275">
        <v>0</v>
      </c>
      <c r="L338" s="266"/>
      <c r="M338" s="264"/>
    </row>
    <row r="339" spans="2:13" ht="27" customHeight="1">
      <c r="B339" s="261"/>
      <c r="C339" s="235" t="s">
        <v>129</v>
      </c>
      <c r="D339" s="266"/>
      <c r="E339" s="266">
        <v>2</v>
      </c>
      <c r="F339" s="275">
        <v>0.315</v>
      </c>
      <c r="G339" s="275">
        <v>0</v>
      </c>
      <c r="H339" s="275">
        <v>0</v>
      </c>
      <c r="I339" s="276">
        <v>0</v>
      </c>
      <c r="J339" s="276">
        <v>0</v>
      </c>
      <c r="K339" s="275">
        <v>0</v>
      </c>
      <c r="L339" s="266"/>
      <c r="M339" s="264"/>
    </row>
    <row r="340" spans="2:13" ht="27" customHeight="1">
      <c r="B340" s="261"/>
      <c r="C340" s="235" t="s">
        <v>94</v>
      </c>
      <c r="D340" s="266"/>
      <c r="E340" s="266">
        <v>3</v>
      </c>
      <c r="F340" s="275">
        <v>2.4260000000000002</v>
      </c>
      <c r="G340" s="275">
        <v>0</v>
      </c>
      <c r="H340" s="275">
        <v>0</v>
      </c>
      <c r="I340" s="276">
        <v>7.82</v>
      </c>
      <c r="J340" s="276">
        <v>0</v>
      </c>
      <c r="K340" s="275">
        <v>0</v>
      </c>
      <c r="L340" s="266"/>
      <c r="M340" s="264"/>
    </row>
    <row r="341" spans="2:13" ht="27" customHeight="1">
      <c r="B341" s="261"/>
      <c r="C341" s="235" t="s">
        <v>95</v>
      </c>
      <c r="D341" s="266"/>
      <c r="E341" s="266">
        <v>4</v>
      </c>
      <c r="F341" s="275">
        <v>3.125</v>
      </c>
      <c r="G341" s="275">
        <v>0.26900000000000002</v>
      </c>
      <c r="H341" s="275">
        <v>0</v>
      </c>
      <c r="I341" s="276">
        <v>7.82</v>
      </c>
      <c r="J341" s="276">
        <v>0</v>
      </c>
      <c r="K341" s="275">
        <v>0</v>
      </c>
      <c r="L341" s="266"/>
      <c r="M341" s="264"/>
    </row>
    <row r="342" spans="2:13" ht="27" customHeight="1">
      <c r="B342" s="261"/>
      <c r="C342" s="235" t="s">
        <v>130</v>
      </c>
      <c r="D342" s="266"/>
      <c r="E342" s="266">
        <v>4</v>
      </c>
      <c r="F342" s="275">
        <v>0.32600000000000001</v>
      </c>
      <c r="G342" s="275">
        <v>0</v>
      </c>
      <c r="H342" s="275">
        <v>0</v>
      </c>
      <c r="I342" s="276">
        <v>0</v>
      </c>
      <c r="J342" s="276">
        <v>0</v>
      </c>
      <c r="K342" s="275">
        <v>0</v>
      </c>
      <c r="L342" s="266"/>
      <c r="M342" s="264"/>
    </row>
    <row r="343" spans="2:13" ht="27" customHeight="1">
      <c r="B343" s="261"/>
      <c r="C343" s="235" t="s">
        <v>96</v>
      </c>
      <c r="D343" s="266"/>
      <c r="E343" s="266" t="s">
        <v>1247</v>
      </c>
      <c r="F343" s="275">
        <v>2.9140000000000001</v>
      </c>
      <c r="G343" s="275">
        <v>0.16200000000000001</v>
      </c>
      <c r="H343" s="275">
        <v>0</v>
      </c>
      <c r="I343" s="276">
        <v>45.36</v>
      </c>
      <c r="J343" s="276">
        <v>0</v>
      </c>
      <c r="K343" s="275">
        <v>0</v>
      </c>
      <c r="L343" s="266"/>
      <c r="M343" s="264"/>
    </row>
    <row r="344" spans="2:13" ht="27" customHeight="1">
      <c r="B344" s="261"/>
      <c r="C344" s="235" t="s">
        <v>97</v>
      </c>
      <c r="D344" s="266"/>
      <c r="E344" s="266" t="s">
        <v>1247</v>
      </c>
      <c r="F344" s="275">
        <v>2.79</v>
      </c>
      <c r="G344" s="275">
        <v>0.15</v>
      </c>
      <c r="H344" s="275">
        <v>0</v>
      </c>
      <c r="I344" s="276">
        <v>32.770000000000003</v>
      </c>
      <c r="J344" s="276">
        <v>0</v>
      </c>
      <c r="K344" s="275">
        <v>0</v>
      </c>
      <c r="L344" s="266"/>
      <c r="M344" s="264"/>
    </row>
    <row r="345" spans="2:13" ht="27" customHeight="1">
      <c r="B345" s="261"/>
      <c r="C345" s="235" t="s">
        <v>110</v>
      </c>
      <c r="D345" s="266"/>
      <c r="E345" s="266" t="s">
        <v>1247</v>
      </c>
      <c r="F345" s="275">
        <v>2.048</v>
      </c>
      <c r="G345" s="275">
        <v>9.1999999999999998E-2</v>
      </c>
      <c r="H345" s="275">
        <v>0</v>
      </c>
      <c r="I345" s="276">
        <v>169.78</v>
      </c>
      <c r="J345" s="276">
        <v>0</v>
      </c>
      <c r="K345" s="275">
        <v>0</v>
      </c>
      <c r="L345" s="266"/>
      <c r="M345" s="264"/>
    </row>
    <row r="346" spans="2:13" ht="27" customHeight="1">
      <c r="B346" s="261"/>
      <c r="C346" s="235" t="s">
        <v>1647</v>
      </c>
      <c r="D346" s="266"/>
      <c r="E346" s="266"/>
      <c r="F346" s="275">
        <v>18.454999999999998</v>
      </c>
      <c r="G346" s="275">
        <v>1.8360000000000001</v>
      </c>
      <c r="H346" s="275">
        <v>0.16600000000000001</v>
      </c>
      <c r="I346" s="276">
        <v>4.6500000000000004</v>
      </c>
      <c r="J346" s="276">
        <v>0</v>
      </c>
      <c r="K346" s="275">
        <v>0</v>
      </c>
      <c r="L346" s="266"/>
      <c r="M346" s="264"/>
    </row>
    <row r="347" spans="2:13" ht="27" customHeight="1">
      <c r="B347" s="261"/>
      <c r="C347" s="235" t="s">
        <v>1646</v>
      </c>
      <c r="D347" s="266"/>
      <c r="E347" s="266"/>
      <c r="F347" s="275">
        <v>18.466999999999999</v>
      </c>
      <c r="G347" s="275">
        <v>1.835</v>
      </c>
      <c r="H347" s="275">
        <v>0.16600000000000001</v>
      </c>
      <c r="I347" s="276">
        <v>7.82</v>
      </c>
      <c r="J347" s="276">
        <v>0</v>
      </c>
      <c r="K347" s="275">
        <v>0</v>
      </c>
      <c r="L347" s="266"/>
      <c r="M347" s="264"/>
    </row>
    <row r="348" spans="2:13" ht="27" customHeight="1">
      <c r="B348" s="261"/>
      <c r="C348" s="235" t="s">
        <v>98</v>
      </c>
      <c r="D348" s="266"/>
      <c r="E348" s="266"/>
      <c r="F348" s="275">
        <v>14.289</v>
      </c>
      <c r="G348" s="275">
        <v>1.41</v>
      </c>
      <c r="H348" s="275">
        <v>0.122</v>
      </c>
      <c r="I348" s="276">
        <v>11.7</v>
      </c>
      <c r="J348" s="276">
        <v>3.04</v>
      </c>
      <c r="K348" s="275">
        <v>0.505</v>
      </c>
      <c r="L348" s="266"/>
      <c r="M348" s="264"/>
    </row>
    <row r="349" spans="2:13" ht="27" customHeight="1">
      <c r="B349" s="261"/>
      <c r="C349" s="235" t="s">
        <v>99</v>
      </c>
      <c r="D349" s="266"/>
      <c r="E349" s="266"/>
      <c r="F349" s="275">
        <v>11.385999999999999</v>
      </c>
      <c r="G349" s="275">
        <v>1.105</v>
      </c>
      <c r="H349" s="275">
        <v>0.09</v>
      </c>
      <c r="I349" s="276">
        <v>9.01</v>
      </c>
      <c r="J349" s="276">
        <v>3.43</v>
      </c>
      <c r="K349" s="275">
        <v>0.441</v>
      </c>
      <c r="L349" s="266"/>
      <c r="M349" s="264"/>
    </row>
    <row r="350" spans="2:13" ht="27" customHeight="1">
      <c r="B350" s="261"/>
      <c r="C350" s="235" t="s">
        <v>111</v>
      </c>
      <c r="D350" s="266"/>
      <c r="E350" s="266"/>
      <c r="F350" s="275">
        <v>10.577999999999999</v>
      </c>
      <c r="G350" s="275">
        <v>1.0209999999999999</v>
      </c>
      <c r="H350" s="275">
        <v>7.4999999999999997E-2</v>
      </c>
      <c r="I350" s="276">
        <v>89.4</v>
      </c>
      <c r="J350" s="276">
        <v>3.55</v>
      </c>
      <c r="K350" s="275">
        <v>0.34899999999999998</v>
      </c>
      <c r="L350" s="266"/>
      <c r="M350" s="264"/>
    </row>
    <row r="351" spans="2:13" ht="27" customHeight="1">
      <c r="B351" s="261"/>
      <c r="C351" s="235" t="s">
        <v>131</v>
      </c>
      <c r="D351" s="266"/>
      <c r="E351" s="266">
        <v>8</v>
      </c>
      <c r="F351" s="275">
        <v>2.617</v>
      </c>
      <c r="G351" s="275">
        <v>0</v>
      </c>
      <c r="H351" s="275">
        <v>0</v>
      </c>
      <c r="I351" s="276">
        <v>0</v>
      </c>
      <c r="J351" s="276">
        <v>0</v>
      </c>
      <c r="K351" s="275">
        <v>0</v>
      </c>
      <c r="L351" s="266"/>
      <c r="M351" s="264"/>
    </row>
    <row r="352" spans="2:13" ht="27" customHeight="1">
      <c r="B352" s="261"/>
      <c r="C352" s="235" t="s">
        <v>132</v>
      </c>
      <c r="D352" s="266"/>
      <c r="E352" s="266">
        <v>1</v>
      </c>
      <c r="F352" s="275">
        <v>2.964</v>
      </c>
      <c r="G352" s="275">
        <v>0</v>
      </c>
      <c r="H352" s="275">
        <v>0</v>
      </c>
      <c r="I352" s="276">
        <v>0</v>
      </c>
      <c r="J352" s="276">
        <v>0</v>
      </c>
      <c r="K352" s="275">
        <v>0</v>
      </c>
      <c r="L352" s="266"/>
      <c r="M352" s="264"/>
    </row>
    <row r="353" spans="2:13" ht="27" customHeight="1">
      <c r="B353" s="261"/>
      <c r="C353" s="235" t="s">
        <v>133</v>
      </c>
      <c r="D353" s="266"/>
      <c r="E353" s="266">
        <v>1</v>
      </c>
      <c r="F353" s="275">
        <v>4.42</v>
      </c>
      <c r="G353" s="275">
        <v>0</v>
      </c>
      <c r="H353" s="275">
        <v>0</v>
      </c>
      <c r="I353" s="276">
        <v>0</v>
      </c>
      <c r="J353" s="276">
        <v>0</v>
      </c>
      <c r="K353" s="275">
        <v>0</v>
      </c>
      <c r="L353" s="266"/>
      <c r="M353" s="264"/>
    </row>
    <row r="354" spans="2:13" ht="27" customHeight="1">
      <c r="B354" s="261"/>
      <c r="C354" s="235" t="s">
        <v>134</v>
      </c>
      <c r="D354" s="266"/>
      <c r="E354" s="266">
        <v>1</v>
      </c>
      <c r="F354" s="275">
        <v>2.3180000000000001</v>
      </c>
      <c r="G354" s="275">
        <v>0</v>
      </c>
      <c r="H354" s="275">
        <v>0</v>
      </c>
      <c r="I354" s="276">
        <v>0</v>
      </c>
      <c r="J354" s="276">
        <v>0</v>
      </c>
      <c r="K354" s="275">
        <v>0</v>
      </c>
      <c r="L354" s="266"/>
      <c r="M354" s="264"/>
    </row>
    <row r="355" spans="2:13" ht="27" customHeight="1">
      <c r="B355" s="261"/>
      <c r="C355" s="235" t="s">
        <v>135</v>
      </c>
      <c r="D355" s="266"/>
      <c r="E355" s="266"/>
      <c r="F355" s="275">
        <v>39.576000000000001</v>
      </c>
      <c r="G355" s="275">
        <v>2.6190000000000002</v>
      </c>
      <c r="H355" s="275">
        <v>0.97499999999999998</v>
      </c>
      <c r="I355" s="276">
        <v>0</v>
      </c>
      <c r="J355" s="276">
        <v>0</v>
      </c>
      <c r="K355" s="275">
        <v>0</v>
      </c>
      <c r="L355" s="266"/>
      <c r="M355" s="264"/>
    </row>
    <row r="356" spans="2:13" ht="27" customHeight="1">
      <c r="B356" s="261"/>
      <c r="C356" s="235" t="s">
        <v>1645</v>
      </c>
      <c r="D356" s="266"/>
      <c r="E356" s="266" t="s">
        <v>1638</v>
      </c>
      <c r="F356" s="275">
        <v>-0.88400000000000001</v>
      </c>
      <c r="G356" s="275">
        <v>0</v>
      </c>
      <c r="H356" s="275">
        <v>0</v>
      </c>
      <c r="I356" s="276">
        <v>0</v>
      </c>
      <c r="J356" s="276">
        <v>0</v>
      </c>
      <c r="K356" s="275">
        <v>0</v>
      </c>
      <c r="L356" s="266"/>
      <c r="M356" s="264"/>
    </row>
    <row r="357" spans="2:13" ht="27" customHeight="1">
      <c r="B357" s="261"/>
      <c r="C357" s="235" t="s">
        <v>100</v>
      </c>
      <c r="D357" s="266"/>
      <c r="E357" s="266">
        <v>8</v>
      </c>
      <c r="F357" s="275">
        <v>-0.81</v>
      </c>
      <c r="G357" s="275">
        <v>0</v>
      </c>
      <c r="H357" s="275">
        <v>0</v>
      </c>
      <c r="I357" s="276">
        <v>0</v>
      </c>
      <c r="J357" s="276">
        <v>0</v>
      </c>
      <c r="K357" s="275">
        <v>0</v>
      </c>
      <c r="L357" s="266"/>
      <c r="M357" s="264"/>
    </row>
    <row r="358" spans="2:13" ht="27" customHeight="1">
      <c r="B358" s="261"/>
      <c r="C358" s="235" t="s">
        <v>101</v>
      </c>
      <c r="D358" s="266"/>
      <c r="E358" s="266"/>
      <c r="F358" s="275">
        <v>-0.88400000000000001</v>
      </c>
      <c r="G358" s="275">
        <v>0</v>
      </c>
      <c r="H358" s="275">
        <v>0</v>
      </c>
      <c r="I358" s="276">
        <v>0</v>
      </c>
      <c r="J358" s="276">
        <v>0</v>
      </c>
      <c r="K358" s="275">
        <v>0.28899999999999998</v>
      </c>
      <c r="L358" s="266"/>
      <c r="M358" s="264"/>
    </row>
    <row r="359" spans="2:13" ht="27" customHeight="1">
      <c r="B359" s="261"/>
      <c r="C359" s="235" t="s">
        <v>102</v>
      </c>
      <c r="D359" s="266"/>
      <c r="E359" s="266"/>
      <c r="F359" s="275">
        <v>-7.1150000000000002</v>
      </c>
      <c r="G359" s="275">
        <v>-0.7</v>
      </c>
      <c r="H359" s="275">
        <v>-0.107</v>
      </c>
      <c r="I359" s="276">
        <v>0</v>
      </c>
      <c r="J359" s="276">
        <v>0</v>
      </c>
      <c r="K359" s="275">
        <v>0.28899999999999998</v>
      </c>
      <c r="L359" s="266"/>
      <c r="M359" s="264"/>
    </row>
    <row r="360" spans="2:13" ht="27" customHeight="1">
      <c r="B360" s="261"/>
      <c r="C360" s="235" t="s">
        <v>103</v>
      </c>
      <c r="D360" s="266"/>
      <c r="E360" s="266"/>
      <c r="F360" s="275">
        <v>-0.81</v>
      </c>
      <c r="G360" s="275">
        <v>0</v>
      </c>
      <c r="H360" s="275">
        <v>0</v>
      </c>
      <c r="I360" s="276">
        <v>0</v>
      </c>
      <c r="J360" s="276">
        <v>0</v>
      </c>
      <c r="K360" s="275">
        <v>0.253</v>
      </c>
      <c r="L360" s="266"/>
      <c r="M360" s="264"/>
    </row>
    <row r="361" spans="2:13" ht="27" customHeight="1">
      <c r="B361" s="261"/>
      <c r="C361" s="235" t="s">
        <v>104</v>
      </c>
      <c r="D361" s="266"/>
      <c r="E361" s="266"/>
      <c r="F361" s="275">
        <v>-6.5439999999999996</v>
      </c>
      <c r="G361" s="275">
        <v>-0.63700000000000001</v>
      </c>
      <c r="H361" s="275">
        <v>-9.8000000000000004E-2</v>
      </c>
      <c r="I361" s="276">
        <v>0</v>
      </c>
      <c r="J361" s="276">
        <v>0</v>
      </c>
      <c r="K361" s="275">
        <v>0.253</v>
      </c>
      <c r="L361" s="266"/>
      <c r="M361" s="264"/>
    </row>
    <row r="362" spans="2:13" ht="27" customHeight="1">
      <c r="B362" s="261"/>
      <c r="C362" s="235" t="s">
        <v>112</v>
      </c>
      <c r="D362" s="266"/>
      <c r="E362" s="266"/>
      <c r="F362" s="275">
        <v>-0.56200000000000006</v>
      </c>
      <c r="G362" s="275">
        <v>0</v>
      </c>
      <c r="H362" s="275">
        <v>0</v>
      </c>
      <c r="I362" s="276">
        <v>43.1</v>
      </c>
      <c r="J362" s="276">
        <v>0</v>
      </c>
      <c r="K362" s="275">
        <v>0.20699999999999999</v>
      </c>
      <c r="L362" s="266"/>
      <c r="M362" s="264"/>
    </row>
    <row r="363" spans="2:13" ht="27" customHeight="1">
      <c r="B363" s="261"/>
      <c r="C363" s="235" t="s">
        <v>113</v>
      </c>
      <c r="D363" s="266"/>
      <c r="E363" s="266"/>
      <c r="F363" s="275">
        <v>-4.625</v>
      </c>
      <c r="G363" s="275">
        <v>-0.42499999999999999</v>
      </c>
      <c r="H363" s="275">
        <v>-7.0000000000000007E-2</v>
      </c>
      <c r="I363" s="276">
        <v>43.1</v>
      </c>
      <c r="J363" s="276">
        <v>0</v>
      </c>
      <c r="K363" s="275">
        <v>0.20699999999999999</v>
      </c>
      <c r="L363" s="266"/>
      <c r="M363" s="264"/>
    </row>
    <row r="364" spans="2:13" ht="27" customHeight="1">
      <c r="B364" s="261"/>
      <c r="C364" s="235" t="s">
        <v>147</v>
      </c>
      <c r="D364" s="266"/>
      <c r="E364" s="266">
        <v>1</v>
      </c>
      <c r="F364" s="275">
        <v>2.0979999999999999</v>
      </c>
      <c r="G364" s="275">
        <v>0</v>
      </c>
      <c r="H364" s="275">
        <v>0</v>
      </c>
      <c r="I364" s="276">
        <v>3.16</v>
      </c>
      <c r="J364" s="276">
        <v>0</v>
      </c>
      <c r="K364" s="275">
        <v>0</v>
      </c>
      <c r="L364" s="266"/>
      <c r="M364" s="264"/>
    </row>
    <row r="365" spans="2:13" ht="27" customHeight="1">
      <c r="B365" s="261"/>
      <c r="C365" s="235" t="s">
        <v>150</v>
      </c>
      <c r="D365" s="266"/>
      <c r="E365" s="266">
        <v>2</v>
      </c>
      <c r="F365" s="275">
        <v>2.274</v>
      </c>
      <c r="G365" s="275">
        <v>0.14199999999999999</v>
      </c>
      <c r="H365" s="275">
        <v>0</v>
      </c>
      <c r="I365" s="276">
        <v>3.16</v>
      </c>
      <c r="J365" s="276">
        <v>0</v>
      </c>
      <c r="K365" s="275">
        <v>0</v>
      </c>
      <c r="L365" s="266"/>
      <c r="M365" s="264"/>
    </row>
    <row r="366" spans="2:13" ht="27" customHeight="1">
      <c r="B366" s="261"/>
      <c r="C366" s="235" t="s">
        <v>153</v>
      </c>
      <c r="D366" s="266"/>
      <c r="E366" s="266">
        <v>2</v>
      </c>
      <c r="F366" s="275">
        <v>0.214</v>
      </c>
      <c r="G366" s="275">
        <v>0</v>
      </c>
      <c r="H366" s="275">
        <v>0</v>
      </c>
      <c r="I366" s="276">
        <v>0</v>
      </c>
      <c r="J366" s="276">
        <v>0</v>
      </c>
      <c r="K366" s="275">
        <v>0</v>
      </c>
      <c r="L366" s="266"/>
      <c r="M366" s="264"/>
    </row>
    <row r="367" spans="2:13" ht="27" customHeight="1">
      <c r="B367" s="261"/>
      <c r="C367" s="235" t="s">
        <v>156</v>
      </c>
      <c r="D367" s="266"/>
      <c r="E367" s="266">
        <v>3</v>
      </c>
      <c r="F367" s="275">
        <v>1.651</v>
      </c>
      <c r="G367" s="275">
        <v>0</v>
      </c>
      <c r="H367" s="275">
        <v>0</v>
      </c>
      <c r="I367" s="276">
        <v>5.32</v>
      </c>
      <c r="J367" s="276">
        <v>0</v>
      </c>
      <c r="K367" s="275">
        <v>0</v>
      </c>
      <c r="L367" s="266"/>
      <c r="M367" s="264"/>
    </row>
    <row r="368" spans="2:13" ht="27" customHeight="1">
      <c r="B368" s="261"/>
      <c r="C368" s="235" t="s">
        <v>159</v>
      </c>
      <c r="D368" s="266"/>
      <c r="E368" s="266">
        <v>4</v>
      </c>
      <c r="F368" s="275">
        <v>2.1259999999999999</v>
      </c>
      <c r="G368" s="275">
        <v>0.183</v>
      </c>
      <c r="H368" s="275">
        <v>0</v>
      </c>
      <c r="I368" s="276">
        <v>5.32</v>
      </c>
      <c r="J368" s="276">
        <v>0</v>
      </c>
      <c r="K368" s="275">
        <v>0</v>
      </c>
      <c r="L368" s="266"/>
      <c r="M368" s="264"/>
    </row>
    <row r="369" spans="2:13" ht="27" customHeight="1">
      <c r="B369" s="261"/>
      <c r="C369" s="235" t="s">
        <v>162</v>
      </c>
      <c r="D369" s="266"/>
      <c r="E369" s="266">
        <v>4</v>
      </c>
      <c r="F369" s="275">
        <v>0.222</v>
      </c>
      <c r="G369" s="275">
        <v>0</v>
      </c>
      <c r="H369" s="275">
        <v>0</v>
      </c>
      <c r="I369" s="276">
        <v>0</v>
      </c>
      <c r="J369" s="276">
        <v>0</v>
      </c>
      <c r="K369" s="275">
        <v>0</v>
      </c>
      <c r="L369" s="266"/>
      <c r="M369" s="264"/>
    </row>
    <row r="370" spans="2:13" ht="27" customHeight="1">
      <c r="B370" s="261"/>
      <c r="C370" s="235" t="s">
        <v>165</v>
      </c>
      <c r="D370" s="266"/>
      <c r="E370" s="266" t="s">
        <v>1247</v>
      </c>
      <c r="F370" s="275">
        <v>1.9830000000000001</v>
      </c>
      <c r="G370" s="275">
        <v>0.11</v>
      </c>
      <c r="H370" s="275">
        <v>0</v>
      </c>
      <c r="I370" s="276">
        <v>30.86</v>
      </c>
      <c r="J370" s="276">
        <v>0</v>
      </c>
      <c r="K370" s="275">
        <v>0</v>
      </c>
      <c r="L370" s="266"/>
      <c r="M370" s="264"/>
    </row>
    <row r="371" spans="2:13" ht="27" customHeight="1">
      <c r="B371" s="261"/>
      <c r="C371" s="235" t="s">
        <v>1644</v>
      </c>
      <c r="D371" s="266"/>
      <c r="E371" s="266"/>
      <c r="F371" s="275">
        <v>12.555999999999999</v>
      </c>
      <c r="G371" s="275">
        <v>1.2490000000000001</v>
      </c>
      <c r="H371" s="275">
        <v>0.113</v>
      </c>
      <c r="I371" s="276">
        <v>3.16</v>
      </c>
      <c r="J371" s="276">
        <v>0</v>
      </c>
      <c r="K371" s="275">
        <v>0</v>
      </c>
      <c r="L371" s="266"/>
      <c r="M371" s="264"/>
    </row>
    <row r="372" spans="2:13" ht="27" customHeight="1">
      <c r="B372" s="261"/>
      <c r="C372" s="235" t="s">
        <v>1643</v>
      </c>
      <c r="D372" s="266"/>
      <c r="E372" s="266"/>
      <c r="F372" s="275">
        <v>12.564</v>
      </c>
      <c r="G372" s="275">
        <v>1.248</v>
      </c>
      <c r="H372" s="275">
        <v>0.113</v>
      </c>
      <c r="I372" s="276">
        <v>5.32</v>
      </c>
      <c r="J372" s="276">
        <v>0</v>
      </c>
      <c r="K372" s="275">
        <v>0</v>
      </c>
      <c r="L372" s="266"/>
      <c r="M372" s="264"/>
    </row>
    <row r="373" spans="2:13" ht="27" customHeight="1">
      <c r="B373" s="261"/>
      <c r="C373" s="235" t="s">
        <v>170</v>
      </c>
      <c r="D373" s="266"/>
      <c r="E373" s="266"/>
      <c r="F373" s="275">
        <v>9.7219999999999995</v>
      </c>
      <c r="G373" s="275">
        <v>0.95899999999999996</v>
      </c>
      <c r="H373" s="275">
        <v>8.3000000000000004E-2</v>
      </c>
      <c r="I373" s="276">
        <v>7.96</v>
      </c>
      <c r="J373" s="276">
        <v>2.0699999999999998</v>
      </c>
      <c r="K373" s="275">
        <v>0.34399999999999997</v>
      </c>
      <c r="L373" s="266"/>
      <c r="M373" s="264"/>
    </row>
    <row r="374" spans="2:13" ht="27" customHeight="1">
      <c r="B374" s="261"/>
      <c r="C374" s="235" t="s">
        <v>177</v>
      </c>
      <c r="D374" s="266"/>
      <c r="E374" s="266">
        <v>8</v>
      </c>
      <c r="F374" s="275">
        <v>1.7809999999999999</v>
      </c>
      <c r="G374" s="275">
        <v>0</v>
      </c>
      <c r="H374" s="275">
        <v>0</v>
      </c>
      <c r="I374" s="276">
        <v>0</v>
      </c>
      <c r="J374" s="276">
        <v>0</v>
      </c>
      <c r="K374" s="275">
        <v>0</v>
      </c>
      <c r="L374" s="266"/>
      <c r="M374" s="264"/>
    </row>
    <row r="375" spans="2:13" ht="27" customHeight="1">
      <c r="B375" s="261"/>
      <c r="C375" s="235" t="s">
        <v>180</v>
      </c>
      <c r="D375" s="266"/>
      <c r="E375" s="266">
        <v>1</v>
      </c>
      <c r="F375" s="275">
        <v>2.0169999999999999</v>
      </c>
      <c r="G375" s="275">
        <v>0</v>
      </c>
      <c r="H375" s="275">
        <v>0</v>
      </c>
      <c r="I375" s="276">
        <v>0</v>
      </c>
      <c r="J375" s="276">
        <v>0</v>
      </c>
      <c r="K375" s="275">
        <v>0</v>
      </c>
      <c r="L375" s="266"/>
      <c r="M375" s="264"/>
    </row>
    <row r="376" spans="2:13" ht="27" customHeight="1">
      <c r="B376" s="261"/>
      <c r="C376" s="235" t="s">
        <v>183</v>
      </c>
      <c r="D376" s="266"/>
      <c r="E376" s="266">
        <v>1</v>
      </c>
      <c r="F376" s="275">
        <v>3.0070000000000001</v>
      </c>
      <c r="G376" s="275">
        <v>0</v>
      </c>
      <c r="H376" s="275">
        <v>0</v>
      </c>
      <c r="I376" s="276">
        <v>0</v>
      </c>
      <c r="J376" s="276">
        <v>0</v>
      </c>
      <c r="K376" s="275">
        <v>0</v>
      </c>
      <c r="L376" s="266"/>
      <c r="M376" s="264"/>
    </row>
    <row r="377" spans="2:13" ht="27" customHeight="1">
      <c r="B377" s="261"/>
      <c r="C377" s="235" t="s">
        <v>186</v>
      </c>
      <c r="D377" s="266"/>
      <c r="E377" s="266">
        <v>1</v>
      </c>
      <c r="F377" s="275">
        <v>1.577</v>
      </c>
      <c r="G377" s="275">
        <v>0</v>
      </c>
      <c r="H377" s="275">
        <v>0</v>
      </c>
      <c r="I377" s="276">
        <v>0</v>
      </c>
      <c r="J377" s="276">
        <v>0</v>
      </c>
      <c r="K377" s="275">
        <v>0</v>
      </c>
      <c r="L377" s="266"/>
      <c r="M377" s="264"/>
    </row>
    <row r="378" spans="2:13" ht="27" customHeight="1">
      <c r="B378" s="261"/>
      <c r="C378" s="235" t="s">
        <v>189</v>
      </c>
      <c r="D378" s="266"/>
      <c r="E378" s="266"/>
      <c r="F378" s="275">
        <v>26.925999999999998</v>
      </c>
      <c r="G378" s="275">
        <v>1.782</v>
      </c>
      <c r="H378" s="275">
        <v>0.66300000000000003</v>
      </c>
      <c r="I378" s="276">
        <v>0</v>
      </c>
      <c r="J378" s="276">
        <v>0</v>
      </c>
      <c r="K378" s="275">
        <v>0</v>
      </c>
      <c r="L378" s="266"/>
      <c r="M378" s="264"/>
    </row>
    <row r="379" spans="2:13" ht="27" customHeight="1">
      <c r="B379" s="261"/>
      <c r="C379" s="235" t="s">
        <v>1642</v>
      </c>
      <c r="D379" s="266"/>
      <c r="E379" s="266" t="s">
        <v>1638</v>
      </c>
      <c r="F379" s="275">
        <v>-0.88400000000000001</v>
      </c>
      <c r="G379" s="275">
        <v>0</v>
      </c>
      <c r="H379" s="275">
        <v>0</v>
      </c>
      <c r="I379" s="276">
        <v>0</v>
      </c>
      <c r="J379" s="276">
        <v>0</v>
      </c>
      <c r="K379" s="275">
        <v>0</v>
      </c>
      <c r="L379" s="266"/>
      <c r="M379" s="264"/>
    </row>
    <row r="380" spans="2:13" ht="27" customHeight="1">
      <c r="B380" s="261"/>
      <c r="C380" s="235" t="s">
        <v>194</v>
      </c>
      <c r="D380" s="266"/>
      <c r="E380" s="266"/>
      <c r="F380" s="275">
        <v>-0.88400000000000001</v>
      </c>
      <c r="G380" s="275">
        <v>0</v>
      </c>
      <c r="H380" s="275">
        <v>0</v>
      </c>
      <c r="I380" s="276">
        <v>0</v>
      </c>
      <c r="J380" s="276">
        <v>0</v>
      </c>
      <c r="K380" s="275">
        <v>0.28899999999999998</v>
      </c>
      <c r="L380" s="266"/>
      <c r="M380" s="264"/>
    </row>
    <row r="381" spans="2:13" ht="27" customHeight="1">
      <c r="B381" s="261"/>
      <c r="C381" s="235" t="s">
        <v>197</v>
      </c>
      <c r="D381" s="266"/>
      <c r="E381" s="266"/>
      <c r="F381" s="275">
        <v>-7.1150000000000002</v>
      </c>
      <c r="G381" s="275">
        <v>-0.7</v>
      </c>
      <c r="H381" s="275">
        <v>-0.107</v>
      </c>
      <c r="I381" s="276">
        <v>0</v>
      </c>
      <c r="J381" s="276">
        <v>0</v>
      </c>
      <c r="K381" s="275">
        <v>0.28899999999999998</v>
      </c>
      <c r="L381" s="266"/>
      <c r="M381" s="264"/>
    </row>
    <row r="382" spans="2:13" ht="27" customHeight="1">
      <c r="B382" s="261"/>
      <c r="C382" s="235" t="s">
        <v>148</v>
      </c>
      <c r="D382" s="266"/>
      <c r="E382" s="266">
        <v>1</v>
      </c>
      <c r="F382" s="275">
        <v>1.115</v>
      </c>
      <c r="G382" s="275">
        <v>0</v>
      </c>
      <c r="H382" s="275">
        <v>0</v>
      </c>
      <c r="I382" s="276">
        <v>1.68</v>
      </c>
      <c r="J382" s="276">
        <v>0</v>
      </c>
      <c r="K382" s="275">
        <v>0</v>
      </c>
      <c r="L382" s="266"/>
      <c r="M382" s="264"/>
    </row>
    <row r="383" spans="2:13" ht="27" customHeight="1">
      <c r="B383" s="261"/>
      <c r="C383" s="235" t="s">
        <v>151</v>
      </c>
      <c r="D383" s="266"/>
      <c r="E383" s="266">
        <v>2</v>
      </c>
      <c r="F383" s="275">
        <v>1.2090000000000001</v>
      </c>
      <c r="G383" s="275">
        <v>7.5999999999999998E-2</v>
      </c>
      <c r="H383" s="275">
        <v>0</v>
      </c>
      <c r="I383" s="276">
        <v>1.68</v>
      </c>
      <c r="J383" s="276">
        <v>0</v>
      </c>
      <c r="K383" s="275">
        <v>0</v>
      </c>
      <c r="L383" s="266"/>
      <c r="M383" s="264"/>
    </row>
    <row r="384" spans="2:13" ht="27" customHeight="1">
      <c r="B384" s="261"/>
      <c r="C384" s="235" t="s">
        <v>154</v>
      </c>
      <c r="D384" s="266"/>
      <c r="E384" s="266">
        <v>2</v>
      </c>
      <c r="F384" s="275">
        <v>0.114</v>
      </c>
      <c r="G384" s="275">
        <v>0</v>
      </c>
      <c r="H384" s="275">
        <v>0</v>
      </c>
      <c r="I384" s="276">
        <v>0</v>
      </c>
      <c r="J384" s="276">
        <v>0</v>
      </c>
      <c r="K384" s="275">
        <v>0</v>
      </c>
      <c r="L384" s="266"/>
      <c r="M384" s="264"/>
    </row>
    <row r="385" spans="2:13" ht="27" customHeight="1">
      <c r="B385" s="261"/>
      <c r="C385" s="235" t="s">
        <v>157</v>
      </c>
      <c r="D385" s="266"/>
      <c r="E385" s="266">
        <v>3</v>
      </c>
      <c r="F385" s="275">
        <v>0.877</v>
      </c>
      <c r="G385" s="275">
        <v>0</v>
      </c>
      <c r="H385" s="275">
        <v>0</v>
      </c>
      <c r="I385" s="276">
        <v>2.83</v>
      </c>
      <c r="J385" s="276">
        <v>0</v>
      </c>
      <c r="K385" s="275">
        <v>0</v>
      </c>
      <c r="L385" s="266"/>
      <c r="M385" s="264"/>
    </row>
    <row r="386" spans="2:13" ht="27" customHeight="1">
      <c r="B386" s="261"/>
      <c r="C386" s="235" t="s">
        <v>160</v>
      </c>
      <c r="D386" s="266"/>
      <c r="E386" s="266">
        <v>4</v>
      </c>
      <c r="F386" s="275">
        <v>1.1299999999999999</v>
      </c>
      <c r="G386" s="275">
        <v>9.7000000000000003E-2</v>
      </c>
      <c r="H386" s="275">
        <v>0</v>
      </c>
      <c r="I386" s="276">
        <v>2.83</v>
      </c>
      <c r="J386" s="276">
        <v>0</v>
      </c>
      <c r="K386" s="275">
        <v>0</v>
      </c>
      <c r="L386" s="266"/>
      <c r="M386" s="264"/>
    </row>
    <row r="387" spans="2:13" ht="27" customHeight="1">
      <c r="B387" s="261"/>
      <c r="C387" s="235" t="s">
        <v>163</v>
      </c>
      <c r="D387" s="266"/>
      <c r="E387" s="266">
        <v>4</v>
      </c>
      <c r="F387" s="275">
        <v>0.11799999999999999</v>
      </c>
      <c r="G387" s="275">
        <v>0</v>
      </c>
      <c r="H387" s="275">
        <v>0</v>
      </c>
      <c r="I387" s="276">
        <v>0</v>
      </c>
      <c r="J387" s="276">
        <v>0</v>
      </c>
      <c r="K387" s="275">
        <v>0</v>
      </c>
      <c r="L387" s="266"/>
      <c r="M387" s="264"/>
    </row>
    <row r="388" spans="2:13" ht="27" customHeight="1">
      <c r="B388" s="261"/>
      <c r="C388" s="235" t="s">
        <v>166</v>
      </c>
      <c r="D388" s="266"/>
      <c r="E388" s="266" t="s">
        <v>1247</v>
      </c>
      <c r="F388" s="275">
        <v>1.054</v>
      </c>
      <c r="G388" s="275">
        <v>5.8999999999999997E-2</v>
      </c>
      <c r="H388" s="275">
        <v>0</v>
      </c>
      <c r="I388" s="276">
        <v>16.399999999999999</v>
      </c>
      <c r="J388" s="276">
        <v>0</v>
      </c>
      <c r="K388" s="275">
        <v>0</v>
      </c>
      <c r="L388" s="266"/>
      <c r="M388" s="264"/>
    </row>
    <row r="389" spans="2:13" ht="27" customHeight="1">
      <c r="B389" s="261"/>
      <c r="C389" s="235" t="s">
        <v>1641</v>
      </c>
      <c r="D389" s="266"/>
      <c r="E389" s="266"/>
      <c r="F389" s="275">
        <v>6.6719999999999997</v>
      </c>
      <c r="G389" s="275">
        <v>0.66400000000000003</v>
      </c>
      <c r="H389" s="275">
        <v>0.06</v>
      </c>
      <c r="I389" s="276">
        <v>1.68</v>
      </c>
      <c r="J389" s="276">
        <v>0</v>
      </c>
      <c r="K389" s="275">
        <v>0</v>
      </c>
      <c r="L389" s="266"/>
      <c r="M389" s="264"/>
    </row>
    <row r="390" spans="2:13" ht="27" customHeight="1">
      <c r="B390" s="261"/>
      <c r="C390" s="235" t="s">
        <v>1640</v>
      </c>
      <c r="D390" s="266"/>
      <c r="E390" s="266"/>
      <c r="F390" s="275">
        <v>6.6760000000000002</v>
      </c>
      <c r="G390" s="275">
        <v>0.66300000000000003</v>
      </c>
      <c r="H390" s="275">
        <v>0.06</v>
      </c>
      <c r="I390" s="276">
        <v>2.83</v>
      </c>
      <c r="J390" s="276">
        <v>0</v>
      </c>
      <c r="K390" s="275">
        <v>0</v>
      </c>
      <c r="L390" s="266"/>
      <c r="M390" s="264"/>
    </row>
    <row r="391" spans="2:13" ht="27" customHeight="1">
      <c r="B391" s="261"/>
      <c r="C391" s="235" t="s">
        <v>171</v>
      </c>
      <c r="D391" s="266"/>
      <c r="E391" s="266"/>
      <c r="F391" s="275">
        <v>5.1660000000000004</v>
      </c>
      <c r="G391" s="275">
        <v>0.51</v>
      </c>
      <c r="H391" s="275">
        <v>4.3999999999999997E-2</v>
      </c>
      <c r="I391" s="276">
        <v>4.2300000000000004</v>
      </c>
      <c r="J391" s="276">
        <v>1.1000000000000001</v>
      </c>
      <c r="K391" s="275">
        <v>0.183</v>
      </c>
      <c r="L391" s="266"/>
      <c r="M391" s="264"/>
    </row>
    <row r="392" spans="2:13" ht="27" customHeight="1">
      <c r="B392" s="261"/>
      <c r="C392" s="235" t="s">
        <v>173</v>
      </c>
      <c r="D392" s="266"/>
      <c r="E392" s="266"/>
      <c r="F392" s="275">
        <v>6.2229999999999999</v>
      </c>
      <c r="G392" s="275">
        <v>0.60399999999999998</v>
      </c>
      <c r="H392" s="275">
        <v>4.9000000000000002E-2</v>
      </c>
      <c r="I392" s="276">
        <v>4.92</v>
      </c>
      <c r="J392" s="276">
        <v>1.87</v>
      </c>
      <c r="K392" s="275">
        <v>0.24099999999999999</v>
      </c>
      <c r="L392" s="266"/>
      <c r="M392" s="264"/>
    </row>
    <row r="393" spans="2:13" ht="27" customHeight="1">
      <c r="B393" s="261"/>
      <c r="C393" s="235" t="s">
        <v>175</v>
      </c>
      <c r="D393" s="266"/>
      <c r="E393" s="266"/>
      <c r="F393" s="275">
        <v>6.9340000000000002</v>
      </c>
      <c r="G393" s="275">
        <v>0.66900000000000004</v>
      </c>
      <c r="H393" s="275">
        <v>4.9000000000000002E-2</v>
      </c>
      <c r="I393" s="276">
        <v>58.61</v>
      </c>
      <c r="J393" s="276">
        <v>2.33</v>
      </c>
      <c r="K393" s="275">
        <v>0.22900000000000001</v>
      </c>
      <c r="L393" s="266"/>
      <c r="M393" s="264"/>
    </row>
    <row r="394" spans="2:13" ht="27" customHeight="1">
      <c r="B394" s="261"/>
      <c r="C394" s="235" t="s">
        <v>178</v>
      </c>
      <c r="D394" s="266"/>
      <c r="E394" s="266">
        <v>8</v>
      </c>
      <c r="F394" s="275">
        <v>0.94599999999999995</v>
      </c>
      <c r="G394" s="275">
        <v>0</v>
      </c>
      <c r="H394" s="275">
        <v>0</v>
      </c>
      <c r="I394" s="276">
        <v>0</v>
      </c>
      <c r="J394" s="276">
        <v>0</v>
      </c>
      <c r="K394" s="275">
        <v>0</v>
      </c>
      <c r="L394" s="266"/>
      <c r="M394" s="264"/>
    </row>
    <row r="395" spans="2:13" ht="27" customHeight="1">
      <c r="B395" s="261"/>
      <c r="C395" s="235" t="s">
        <v>181</v>
      </c>
      <c r="D395" s="266"/>
      <c r="E395" s="266">
        <v>1</v>
      </c>
      <c r="F395" s="275">
        <v>1.0720000000000001</v>
      </c>
      <c r="G395" s="275">
        <v>0</v>
      </c>
      <c r="H395" s="275">
        <v>0</v>
      </c>
      <c r="I395" s="276">
        <v>0</v>
      </c>
      <c r="J395" s="276">
        <v>0</v>
      </c>
      <c r="K395" s="275">
        <v>0</v>
      </c>
      <c r="L395" s="266"/>
      <c r="M395" s="264"/>
    </row>
    <row r="396" spans="2:13" ht="27" customHeight="1">
      <c r="B396" s="261"/>
      <c r="C396" s="235" t="s">
        <v>184</v>
      </c>
      <c r="D396" s="266"/>
      <c r="E396" s="266">
        <v>1</v>
      </c>
      <c r="F396" s="275">
        <v>1.5980000000000001</v>
      </c>
      <c r="G396" s="275">
        <v>0</v>
      </c>
      <c r="H396" s="275">
        <v>0</v>
      </c>
      <c r="I396" s="276">
        <v>0</v>
      </c>
      <c r="J396" s="276">
        <v>0</v>
      </c>
      <c r="K396" s="275">
        <v>0</v>
      </c>
      <c r="L396" s="266"/>
      <c r="M396" s="264"/>
    </row>
    <row r="397" spans="2:13" ht="27" customHeight="1">
      <c r="B397" s="261"/>
      <c r="C397" s="235" t="s">
        <v>187</v>
      </c>
      <c r="D397" s="266"/>
      <c r="E397" s="266">
        <v>1</v>
      </c>
      <c r="F397" s="275">
        <v>0.83799999999999997</v>
      </c>
      <c r="G397" s="275">
        <v>0</v>
      </c>
      <c r="H397" s="275">
        <v>0</v>
      </c>
      <c r="I397" s="276">
        <v>0</v>
      </c>
      <c r="J397" s="276">
        <v>0</v>
      </c>
      <c r="K397" s="275">
        <v>0</v>
      </c>
      <c r="L397" s="266"/>
      <c r="M397" s="264"/>
    </row>
    <row r="398" spans="2:13" ht="27" customHeight="1">
      <c r="B398" s="261"/>
      <c r="C398" s="235" t="s">
        <v>190</v>
      </c>
      <c r="D398" s="266"/>
      <c r="E398" s="266"/>
      <c r="F398" s="275">
        <v>14.308</v>
      </c>
      <c r="G398" s="275">
        <v>0.94699999999999995</v>
      </c>
      <c r="H398" s="275">
        <v>0.35199999999999998</v>
      </c>
      <c r="I398" s="276">
        <v>0</v>
      </c>
      <c r="J398" s="276">
        <v>0</v>
      </c>
      <c r="K398" s="275">
        <v>0</v>
      </c>
      <c r="L398" s="266"/>
      <c r="M398" s="264"/>
    </row>
    <row r="399" spans="2:13" ht="27" customHeight="1">
      <c r="B399" s="261"/>
      <c r="C399" s="235" t="s">
        <v>1639</v>
      </c>
      <c r="D399" s="266"/>
      <c r="E399" s="266" t="s">
        <v>1638</v>
      </c>
      <c r="F399" s="275">
        <v>-0.88400000000000001</v>
      </c>
      <c r="G399" s="275">
        <v>0</v>
      </c>
      <c r="H399" s="275">
        <v>0</v>
      </c>
      <c r="I399" s="276">
        <v>0</v>
      </c>
      <c r="J399" s="276">
        <v>0</v>
      </c>
      <c r="K399" s="275">
        <v>0</v>
      </c>
      <c r="L399" s="266"/>
      <c r="M399" s="264"/>
    </row>
    <row r="400" spans="2:13" ht="27" customHeight="1">
      <c r="B400" s="261"/>
      <c r="C400" s="235" t="s">
        <v>192</v>
      </c>
      <c r="D400" s="266"/>
      <c r="E400" s="266">
        <v>8</v>
      </c>
      <c r="F400" s="275">
        <v>-0.81</v>
      </c>
      <c r="G400" s="275">
        <v>0</v>
      </c>
      <c r="H400" s="275">
        <v>0</v>
      </c>
      <c r="I400" s="276">
        <v>0</v>
      </c>
      <c r="J400" s="276">
        <v>0</v>
      </c>
      <c r="K400" s="275">
        <v>0</v>
      </c>
      <c r="L400" s="266"/>
      <c r="M400" s="264"/>
    </row>
    <row r="401" spans="2:13" ht="27" customHeight="1">
      <c r="B401" s="261"/>
      <c r="C401" s="235" t="s">
        <v>195</v>
      </c>
      <c r="D401" s="266"/>
      <c r="E401" s="266"/>
      <c r="F401" s="275">
        <v>-0.88400000000000001</v>
      </c>
      <c r="G401" s="275">
        <v>0</v>
      </c>
      <c r="H401" s="275">
        <v>0</v>
      </c>
      <c r="I401" s="276">
        <v>0</v>
      </c>
      <c r="J401" s="276">
        <v>0</v>
      </c>
      <c r="K401" s="275">
        <v>0.28899999999999998</v>
      </c>
      <c r="L401" s="266"/>
      <c r="M401" s="264"/>
    </row>
    <row r="402" spans="2:13" ht="27" customHeight="1">
      <c r="B402" s="261"/>
      <c r="C402" s="235" t="s">
        <v>198</v>
      </c>
      <c r="D402" s="266"/>
      <c r="E402" s="266"/>
      <c r="F402" s="275">
        <v>-7.1150000000000002</v>
      </c>
      <c r="G402" s="275">
        <v>-0.7</v>
      </c>
      <c r="H402" s="275">
        <v>-0.107</v>
      </c>
      <c r="I402" s="276">
        <v>0</v>
      </c>
      <c r="J402" s="276">
        <v>0</v>
      </c>
      <c r="K402" s="275">
        <v>0.28899999999999998</v>
      </c>
      <c r="L402" s="266"/>
      <c r="M402" s="264"/>
    </row>
    <row r="403" spans="2:13" ht="27" customHeight="1">
      <c r="B403" s="261"/>
      <c r="C403" s="235" t="s">
        <v>200</v>
      </c>
      <c r="D403" s="266"/>
      <c r="E403" s="266"/>
      <c r="F403" s="275">
        <v>-0.81</v>
      </c>
      <c r="G403" s="275">
        <v>0</v>
      </c>
      <c r="H403" s="275">
        <v>0</v>
      </c>
      <c r="I403" s="276">
        <v>0</v>
      </c>
      <c r="J403" s="276">
        <v>0</v>
      </c>
      <c r="K403" s="275">
        <v>0.253</v>
      </c>
      <c r="L403" s="266"/>
      <c r="M403" s="264"/>
    </row>
    <row r="404" spans="2:13" ht="27" customHeight="1">
      <c r="B404" s="261"/>
      <c r="C404" s="235" t="s">
        <v>202</v>
      </c>
      <c r="D404" s="266"/>
      <c r="E404" s="266"/>
      <c r="F404" s="275">
        <v>-6.5439999999999996</v>
      </c>
      <c r="G404" s="275">
        <v>-0.63700000000000001</v>
      </c>
      <c r="H404" s="275">
        <v>-9.8000000000000004E-2</v>
      </c>
      <c r="I404" s="276">
        <v>0</v>
      </c>
      <c r="J404" s="276">
        <v>0</v>
      </c>
      <c r="K404" s="275">
        <v>0.253</v>
      </c>
      <c r="L404" s="266"/>
      <c r="M404" s="264"/>
    </row>
    <row r="405" spans="2:13" ht="27" customHeight="1">
      <c r="B405" s="261"/>
      <c r="C405" s="235" t="s">
        <v>204</v>
      </c>
      <c r="D405" s="266"/>
      <c r="E405" s="266"/>
      <c r="F405" s="275">
        <v>-0.56200000000000006</v>
      </c>
      <c r="G405" s="275">
        <v>0</v>
      </c>
      <c r="H405" s="275">
        <v>0</v>
      </c>
      <c r="I405" s="276">
        <v>0</v>
      </c>
      <c r="J405" s="276">
        <v>0</v>
      </c>
      <c r="K405" s="275">
        <v>0.20699999999999999</v>
      </c>
      <c r="L405" s="266"/>
      <c r="M405" s="264"/>
    </row>
    <row r="406" spans="2:13" ht="27" customHeight="1">
      <c r="B406" s="261"/>
      <c r="C406" s="235" t="s">
        <v>206</v>
      </c>
      <c r="D406" s="266"/>
      <c r="E406" s="266"/>
      <c r="F406" s="275">
        <v>-4.625</v>
      </c>
      <c r="G406" s="275">
        <v>-0.42499999999999999</v>
      </c>
      <c r="H406" s="275">
        <v>-7.0000000000000007E-2</v>
      </c>
      <c r="I406" s="276">
        <v>0</v>
      </c>
      <c r="J406" s="276">
        <v>0</v>
      </c>
      <c r="K406" s="275">
        <v>0.20699999999999999</v>
      </c>
      <c r="L406" s="266"/>
      <c r="M406" s="264"/>
    </row>
    <row r="407" spans="2:13" ht="13.5" thickBot="1">
      <c r="B407" s="267"/>
      <c r="C407" s="268"/>
      <c r="D407" s="268"/>
      <c r="E407" s="268"/>
      <c r="F407" s="268"/>
      <c r="G407" s="268"/>
      <c r="H407" s="268"/>
      <c r="I407" s="268"/>
      <c r="J407" s="268"/>
      <c r="K407" s="268"/>
      <c r="L407" s="268"/>
      <c r="M407" s="269"/>
    </row>
  </sheetData>
  <mergeCells count="1">
    <mergeCell ref="F5:J7"/>
  </mergeCells>
  <phoneticPr fontId="52" type="noConversion"/>
  <hyperlinks>
    <hyperlink ref="D6" location="'Tariffs ARP'!C20" display="'Tariffs ARP'!C20"/>
    <hyperlink ref="D7" location="'Tariffs ARP'!C99" display="'Tariffs ARP'!C99"/>
    <hyperlink ref="D8" location="'Tariffs ARP'!C178" display="'Tariffs ARP'!C178"/>
    <hyperlink ref="D9" location="'Tariffs ARP'!C257" display="'Tariffs ARP'!C257"/>
    <hyperlink ref="D10" location="'Tariffs ARP'!C336" display="'Tariffs ARP'!C336"/>
  </hyperlinks>
  <pageMargins left="0.75" right="0.75" top="0.98" bottom="0.98" header="0.51" footer="0.51"/>
  <pageSetup paperSize="9" scale="30" fitToHeight="4" orientation="portrait" r:id="rId1"/>
  <headerFooter alignWithMargins="0"/>
  <rowBreaks count="4" manualBreakCount="4">
    <brk id="93" min="1" max="12" man="1"/>
    <brk id="172" min="1" max="12" man="1"/>
    <brk id="251" min="1" max="12" man="1"/>
    <brk id="330" min="1" max="12" man="1"/>
  </rowBreaks>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indexed="47"/>
  </sheetPr>
  <dimension ref="B2:G116"/>
  <sheetViews>
    <sheetView showGridLines="0" view="pageBreakPreview" topLeftCell="C3" zoomScaleSheetLayoutView="55" workbookViewId="0">
      <selection activeCell="G20" sqref="G20:G116"/>
    </sheetView>
  </sheetViews>
  <sheetFormatPr defaultColWidth="8.85546875" defaultRowHeight="15.95" customHeight="1"/>
  <cols>
    <col min="1" max="1" width="8.85546875" style="45"/>
    <col min="2" max="2" width="87.42578125" style="45" customWidth="1"/>
    <col min="3" max="7" width="19.28515625" style="45" customWidth="1"/>
    <col min="8" max="226" width="20.7109375" style="45" customWidth="1"/>
    <col min="227" max="16384" width="8.85546875" style="45"/>
  </cols>
  <sheetData>
    <row r="2" spans="2:7" ht="15.95" customHeight="1">
      <c r="B2" s="238"/>
      <c r="D2" s="238"/>
      <c r="F2" s="238"/>
    </row>
    <row r="3" spans="2:7" ht="15.95" customHeight="1">
      <c r="B3" s="365" t="s">
        <v>1848</v>
      </c>
      <c r="C3" s="365"/>
      <c r="D3" s="365"/>
      <c r="E3" s="365"/>
      <c r="F3" s="365"/>
      <c r="G3" s="239"/>
    </row>
    <row r="4" spans="2:7" ht="15.95" customHeight="1">
      <c r="B4" s="365"/>
      <c r="C4" s="365"/>
      <c r="D4" s="365"/>
      <c r="E4" s="365"/>
      <c r="F4" s="365"/>
      <c r="G4" s="239"/>
    </row>
    <row r="5" spans="2:7" ht="15.95" customHeight="1">
      <c r="B5" s="365"/>
      <c r="C5" s="365"/>
      <c r="D5" s="365"/>
      <c r="E5" s="365"/>
      <c r="F5" s="365"/>
      <c r="G5" s="239"/>
    </row>
    <row r="6" spans="2:7" ht="15.95" customHeight="1">
      <c r="B6" s="240"/>
      <c r="D6" s="238"/>
      <c r="F6" s="238"/>
    </row>
    <row r="7" spans="2:7" ht="15.95" customHeight="1">
      <c r="B7" s="240"/>
      <c r="D7" s="238"/>
      <c r="F7" s="238"/>
    </row>
    <row r="8" spans="2:7" ht="15.95" customHeight="1">
      <c r="B8" s="240"/>
      <c r="D8" s="238"/>
      <c r="F8" s="238"/>
    </row>
    <row r="9" spans="2:7" ht="15.95" customHeight="1">
      <c r="F9" s="241"/>
    </row>
    <row r="10" spans="2:7" ht="15.95" customHeight="1">
      <c r="F10" s="238"/>
    </row>
    <row r="11" spans="2:7" ht="15.95" customHeight="1">
      <c r="B11" s="242"/>
    </row>
    <row r="12" spans="2:7" ht="15.95" customHeight="1">
      <c r="B12" s="243"/>
    </row>
    <row r="13" spans="2:7" ht="15.95" customHeight="1">
      <c r="B13" s="244" t="str">
        <f>'CDCM Forecast Data'!E3&amp;" - 5 Year Typical Bill"</f>
        <v>WPD South Wales - 5 Year Typical Bill</v>
      </c>
    </row>
    <row r="14" spans="2:7" ht="15.95" customHeight="1">
      <c r="B14" s="244"/>
    </row>
    <row r="15" spans="2:7" ht="15.95" customHeight="1">
      <c r="B15" s="245" t="s">
        <v>1544</v>
      </c>
      <c r="C15" s="245"/>
      <c r="D15" s="245"/>
      <c r="E15" s="245"/>
      <c r="F15" s="245"/>
      <c r="G15" s="245"/>
    </row>
    <row r="16" spans="2:7" ht="15.95" customHeight="1">
      <c r="B16" s="247"/>
      <c r="C16" s="246"/>
      <c r="D16" s="246"/>
      <c r="E16" s="246"/>
      <c r="F16" s="246"/>
      <c r="G16" s="246"/>
    </row>
    <row r="17" spans="2:7" ht="15.95" customHeight="1">
      <c r="B17" s="247"/>
      <c r="C17" s="246"/>
      <c r="D17" s="246"/>
      <c r="E17" s="246"/>
      <c r="F17" s="246"/>
      <c r="G17" s="246"/>
    </row>
    <row r="18" spans="2:7" ht="15.95" customHeight="1">
      <c r="B18" s="248"/>
      <c r="C18" s="249" t="str">
        <f>+'CDCM Forecast Data'!E10</f>
        <v>Y</v>
      </c>
      <c r="D18" s="249" t="str">
        <f>+'CDCM Forecast Data'!F10</f>
        <v>Y+1</v>
      </c>
      <c r="E18" s="249" t="str">
        <f>+'CDCM Forecast Data'!G10</f>
        <v>Y+2</v>
      </c>
      <c r="F18" s="249" t="str">
        <f>+'CDCM Forecast Data'!H10</f>
        <v>Y+3</v>
      </c>
      <c r="G18" s="249" t="str">
        <f>+'CDCM Forecast Data'!I10</f>
        <v>Y+4</v>
      </c>
    </row>
    <row r="19" spans="2:7" ht="15.95" customHeight="1">
      <c r="B19" s="38" t="s">
        <v>1543</v>
      </c>
      <c r="C19" s="250" t="str">
        <f>+'CDCM Forecast Data'!E11</f>
        <v>2015/16</v>
      </c>
      <c r="D19" s="250" t="str">
        <f>+'CDCM Forecast Data'!F11</f>
        <v>2016/17</v>
      </c>
      <c r="E19" s="250" t="str">
        <f>+'CDCM Forecast Data'!G11</f>
        <v>2017/18</v>
      </c>
      <c r="F19" s="250" t="str">
        <f>+'CDCM Forecast Data'!H11</f>
        <v>2018/19</v>
      </c>
      <c r="G19" s="250" t="str">
        <f>+'CDCM Forecast Data'!I11</f>
        <v>2019/20</v>
      </c>
    </row>
    <row r="20" spans="2:7" ht="15.95" customHeight="1">
      <c r="B20" s="17" t="s">
        <v>146</v>
      </c>
      <c r="C20" s="251"/>
      <c r="D20" s="251"/>
      <c r="E20" s="251"/>
      <c r="F20" s="251"/>
      <c r="G20" s="251"/>
    </row>
    <row r="21" spans="2:7" ht="15.95" customHeight="1">
      <c r="B21" s="11" t="s">
        <v>92</v>
      </c>
      <c r="C21" s="253">
        <v>102.68307219388933</v>
      </c>
      <c r="D21" s="253">
        <v>111.09555571758574</v>
      </c>
      <c r="E21" s="253">
        <v>111.53644806520529</v>
      </c>
      <c r="F21" s="253">
        <v>116.04675869847742</v>
      </c>
      <c r="G21" s="253">
        <v>120.66499994127132</v>
      </c>
    </row>
    <row r="22" spans="2:7" ht="15.95" customHeight="1">
      <c r="B22" s="11" t="s">
        <v>147</v>
      </c>
      <c r="C22" s="253">
        <v>67.256557089049934</v>
      </c>
      <c r="D22" s="253">
        <v>72.748805832057471</v>
      </c>
      <c r="E22" s="253">
        <v>73.077305832057476</v>
      </c>
      <c r="F22" s="253">
        <v>76.009357162148817</v>
      </c>
      <c r="G22" s="253">
        <v>79.000793710267104</v>
      </c>
    </row>
    <row r="23" spans="2:7" ht="15.95" customHeight="1">
      <c r="B23" s="11" t="s">
        <v>148</v>
      </c>
      <c r="C23" s="253">
        <v>33.335016537893928</v>
      </c>
      <c r="D23" s="253">
        <v>36.053938608602287</v>
      </c>
      <c r="E23" s="253">
        <v>36.206834582718422</v>
      </c>
      <c r="F23" s="253">
        <v>37.662307695724159</v>
      </c>
      <c r="G23" s="253">
        <v>39.157288860497609</v>
      </c>
    </row>
    <row r="24" spans="2:7" ht="15.95" customHeight="1">
      <c r="B24" s="17" t="s">
        <v>149</v>
      </c>
      <c r="C24" s="253"/>
      <c r="D24" s="253"/>
      <c r="E24" s="253"/>
      <c r="F24" s="253"/>
      <c r="G24" s="253"/>
    </row>
    <row r="25" spans="2:7" ht="15.95" customHeight="1">
      <c r="B25" s="11" t="s">
        <v>93</v>
      </c>
      <c r="C25" s="253">
        <v>105.71834423140695</v>
      </c>
      <c r="D25" s="253">
        <v>114.26896840720474</v>
      </c>
      <c r="E25" s="253">
        <v>114.77760275925351</v>
      </c>
      <c r="F25" s="253">
        <v>119.41978340091129</v>
      </c>
      <c r="G25" s="253">
        <v>124.15587647955456</v>
      </c>
    </row>
    <row r="26" spans="2:7" ht="15.95" customHeight="1">
      <c r="B26" s="11" t="s">
        <v>150</v>
      </c>
      <c r="C26" s="253">
        <v>646.84515664403136</v>
      </c>
      <c r="D26" s="253">
        <v>680.88080046807988</v>
      </c>
      <c r="E26" s="253">
        <v>690.36693580354893</v>
      </c>
      <c r="F26" s="253">
        <v>714.25998391581675</v>
      </c>
      <c r="G26" s="253">
        <v>741.65986112635869</v>
      </c>
    </row>
    <row r="27" spans="2:7" ht="15.95" customHeight="1">
      <c r="B27" s="11" t="s">
        <v>151</v>
      </c>
      <c r="C27" s="253">
        <v>41.071152086951898</v>
      </c>
      <c r="D27" s="253">
        <v>44.328527505906401</v>
      </c>
      <c r="E27" s="253">
        <v>44.522724216340428</v>
      </c>
      <c r="F27" s="253">
        <v>46.342193235468315</v>
      </c>
      <c r="G27" s="253">
        <v>48.206037410109232</v>
      </c>
    </row>
    <row r="28" spans="2:7" ht="15.95" customHeight="1">
      <c r="B28" s="17" t="s">
        <v>152</v>
      </c>
      <c r="C28" s="253"/>
      <c r="D28" s="253"/>
      <c r="E28" s="253"/>
      <c r="F28" s="253"/>
      <c r="G28" s="253"/>
    </row>
    <row r="29" spans="2:7" ht="15.95" customHeight="1">
      <c r="B29" s="11" t="s">
        <v>129</v>
      </c>
      <c r="C29" s="253" t="s">
        <v>262</v>
      </c>
      <c r="D29" s="253" t="s">
        <v>262</v>
      </c>
      <c r="E29" s="253" t="s">
        <v>262</v>
      </c>
      <c r="F29" s="253" t="s">
        <v>262</v>
      </c>
      <c r="G29" s="253" t="s">
        <v>262</v>
      </c>
    </row>
    <row r="30" spans="2:7" ht="15.95" customHeight="1">
      <c r="B30" s="11" t="s">
        <v>153</v>
      </c>
      <c r="C30" s="253" t="s">
        <v>262</v>
      </c>
      <c r="D30" s="253" t="s">
        <v>262</v>
      </c>
      <c r="E30" s="253" t="s">
        <v>262</v>
      </c>
      <c r="F30" s="253" t="s">
        <v>262</v>
      </c>
      <c r="G30" s="253" t="s">
        <v>262</v>
      </c>
    </row>
    <row r="31" spans="2:7" ht="15.95" customHeight="1">
      <c r="B31" s="11" t="s">
        <v>154</v>
      </c>
      <c r="C31" s="253" t="s">
        <v>262</v>
      </c>
      <c r="D31" s="253" t="s">
        <v>262</v>
      </c>
      <c r="E31" s="253" t="s">
        <v>262</v>
      </c>
      <c r="F31" s="253" t="s">
        <v>262</v>
      </c>
      <c r="G31" s="253" t="s">
        <v>262</v>
      </c>
    </row>
    <row r="32" spans="2:7" ht="15.95" customHeight="1">
      <c r="B32" s="17" t="s">
        <v>155</v>
      </c>
      <c r="C32" s="253"/>
      <c r="D32" s="253"/>
      <c r="E32" s="253"/>
      <c r="F32" s="253"/>
      <c r="G32" s="253"/>
    </row>
    <row r="33" spans="2:7" ht="15.95" customHeight="1">
      <c r="B33" s="11" t="s">
        <v>94</v>
      </c>
      <c r="C33" s="253">
        <v>291.52939295998431</v>
      </c>
      <c r="D33" s="253">
        <v>314.662667745286</v>
      </c>
      <c r="E33" s="253">
        <v>315.37311355577549</v>
      </c>
      <c r="F33" s="253">
        <v>328.30720736975445</v>
      </c>
      <c r="G33" s="253">
        <v>341.70666375226472</v>
      </c>
    </row>
    <row r="34" spans="2:7" ht="15.95" customHeight="1">
      <c r="B34" s="11" t="s">
        <v>156</v>
      </c>
      <c r="C34" s="253">
        <v>216.37208738351512</v>
      </c>
      <c r="D34" s="253">
        <v>233.50659466547472</v>
      </c>
      <c r="E34" s="253">
        <v>234.09059466547473</v>
      </c>
      <c r="F34" s="253">
        <v>243.71707300774324</v>
      </c>
      <c r="G34" s="253">
        <v>253.68046942320763</v>
      </c>
    </row>
    <row r="35" spans="2:7" ht="15.95" customHeight="1">
      <c r="B35" s="11" t="s">
        <v>157</v>
      </c>
      <c r="C35" s="253">
        <v>193.41808243866456</v>
      </c>
      <c r="D35" s="253">
        <v>208.99958794965275</v>
      </c>
      <c r="E35" s="253">
        <v>209.32808794965277</v>
      </c>
      <c r="F35" s="253">
        <v>218.01836516535593</v>
      </c>
      <c r="G35" s="253">
        <v>226.98395053446217</v>
      </c>
    </row>
    <row r="36" spans="2:7" ht="15.95" customHeight="1">
      <c r="B36" s="17" t="s">
        <v>158</v>
      </c>
      <c r="C36" s="253"/>
      <c r="D36" s="253"/>
      <c r="E36" s="253"/>
      <c r="F36" s="253"/>
      <c r="G36" s="253"/>
    </row>
    <row r="37" spans="2:7" ht="15.95" customHeight="1">
      <c r="B37" s="11" t="s">
        <v>95</v>
      </c>
      <c r="C37" s="253">
        <v>449.99902404280783</v>
      </c>
      <c r="D37" s="253">
        <v>486.4224520487989</v>
      </c>
      <c r="E37" s="253">
        <v>487.07662203039376</v>
      </c>
      <c r="F37" s="253">
        <v>507.27193047169214</v>
      </c>
      <c r="G37" s="253">
        <v>528.00701485821889</v>
      </c>
    </row>
    <row r="38" spans="2:7" ht="15.95" customHeight="1">
      <c r="B38" s="11" t="s">
        <v>159</v>
      </c>
      <c r="C38" s="253" t="s">
        <v>262</v>
      </c>
      <c r="D38" s="253" t="s">
        <v>262</v>
      </c>
      <c r="E38" s="253" t="s">
        <v>262</v>
      </c>
      <c r="F38" s="253" t="s">
        <v>262</v>
      </c>
      <c r="G38" s="253" t="s">
        <v>262</v>
      </c>
    </row>
    <row r="39" spans="2:7" ht="15.95" customHeight="1">
      <c r="B39" s="11" t="s">
        <v>160</v>
      </c>
      <c r="C39" s="253">
        <v>921.47293541959459</v>
      </c>
      <c r="D39" s="253">
        <v>999.13489176098687</v>
      </c>
      <c r="E39" s="253">
        <v>997.82979884515248</v>
      </c>
      <c r="F39" s="253">
        <v>1040.7605458752466</v>
      </c>
      <c r="G39" s="253">
        <v>1083.7195929053407</v>
      </c>
    </row>
    <row r="40" spans="2:7" ht="15.95" customHeight="1">
      <c r="B40" s="17" t="s">
        <v>161</v>
      </c>
      <c r="C40" s="253"/>
      <c r="D40" s="253"/>
      <c r="E40" s="253"/>
      <c r="F40" s="253"/>
      <c r="G40" s="253"/>
    </row>
    <row r="41" spans="2:7" ht="15.95" customHeight="1">
      <c r="B41" s="11" t="s">
        <v>130</v>
      </c>
      <c r="C41" s="253" t="s">
        <v>262</v>
      </c>
      <c r="D41" s="253" t="s">
        <v>262</v>
      </c>
      <c r="E41" s="253" t="s">
        <v>262</v>
      </c>
      <c r="F41" s="253" t="s">
        <v>262</v>
      </c>
      <c r="G41" s="253" t="s">
        <v>262</v>
      </c>
    </row>
    <row r="42" spans="2:7" ht="15.95" customHeight="1">
      <c r="B42" s="11" t="s">
        <v>162</v>
      </c>
      <c r="C42" s="253" t="s">
        <v>262</v>
      </c>
      <c r="D42" s="253" t="s">
        <v>262</v>
      </c>
      <c r="E42" s="253" t="s">
        <v>262</v>
      </c>
      <c r="F42" s="253" t="s">
        <v>262</v>
      </c>
      <c r="G42" s="253" t="s">
        <v>262</v>
      </c>
    </row>
    <row r="43" spans="2:7" ht="15.95" customHeight="1">
      <c r="B43" s="11" t="s">
        <v>163</v>
      </c>
      <c r="C43" s="253" t="s">
        <v>262</v>
      </c>
      <c r="D43" s="253" t="s">
        <v>262</v>
      </c>
      <c r="E43" s="253" t="s">
        <v>262</v>
      </c>
      <c r="F43" s="253" t="s">
        <v>262</v>
      </c>
      <c r="G43" s="253" t="s">
        <v>262</v>
      </c>
    </row>
    <row r="44" spans="2:7" ht="15.95" customHeight="1">
      <c r="B44" s="17" t="s">
        <v>164</v>
      </c>
      <c r="C44" s="253"/>
      <c r="D44" s="253"/>
      <c r="E44" s="253"/>
      <c r="F44" s="253"/>
      <c r="G44" s="253"/>
    </row>
    <row r="45" spans="2:7" ht="15.95" customHeight="1">
      <c r="B45" s="11" t="s">
        <v>96</v>
      </c>
      <c r="C45" s="253">
        <v>2168.7621984158027</v>
      </c>
      <c r="D45" s="253">
        <v>2341.831012011141</v>
      </c>
      <c r="E45" s="253">
        <v>2345.1568968378415</v>
      </c>
      <c r="F45" s="253">
        <v>2441.7084595088731</v>
      </c>
      <c r="G45" s="253">
        <v>2541.4163080604235</v>
      </c>
    </row>
    <row r="46" spans="2:7" ht="15.95" customHeight="1">
      <c r="B46" s="11" t="s">
        <v>165</v>
      </c>
      <c r="C46" s="253" t="s">
        <v>262</v>
      </c>
      <c r="D46" s="253" t="s">
        <v>262</v>
      </c>
      <c r="E46" s="253" t="s">
        <v>262</v>
      </c>
      <c r="F46" s="253" t="s">
        <v>262</v>
      </c>
      <c r="G46" s="253" t="s">
        <v>262</v>
      </c>
    </row>
    <row r="47" spans="2:7" ht="15.95" customHeight="1">
      <c r="B47" s="11" t="s">
        <v>166</v>
      </c>
      <c r="C47" s="253">
        <v>1041.1556918819897</v>
      </c>
      <c r="D47" s="253">
        <v>1125.3879380336668</v>
      </c>
      <c r="E47" s="253">
        <v>1126.2268466188457</v>
      </c>
      <c r="F47" s="253">
        <v>1173.0678092532644</v>
      </c>
      <c r="G47" s="253">
        <v>1222.1156623743834</v>
      </c>
    </row>
    <row r="48" spans="2:7" ht="15.95" customHeight="1">
      <c r="B48" s="17" t="s">
        <v>167</v>
      </c>
      <c r="C48" s="253"/>
      <c r="D48" s="253"/>
      <c r="E48" s="253"/>
      <c r="F48" s="253"/>
      <c r="G48" s="253"/>
    </row>
    <row r="49" spans="2:7" ht="15.95" customHeight="1">
      <c r="B49" s="11" t="s">
        <v>97</v>
      </c>
      <c r="C49" s="253">
        <v>3208.8439095031267</v>
      </c>
      <c r="D49" s="253">
        <v>3482.665478709217</v>
      </c>
      <c r="E49" s="253">
        <v>3479.4771056191198</v>
      </c>
      <c r="F49" s="253">
        <v>3626.7689536405178</v>
      </c>
      <c r="G49" s="253">
        <v>3777.632060496157</v>
      </c>
    </row>
    <row r="50" spans="2:7" ht="15.95" customHeight="1">
      <c r="B50" s="17" t="s">
        <v>168</v>
      </c>
      <c r="C50" s="253"/>
      <c r="D50" s="253"/>
      <c r="E50" s="253"/>
      <c r="F50" s="253"/>
      <c r="G50" s="253"/>
    </row>
    <row r="51" spans="2:7" ht="15.95" customHeight="1">
      <c r="B51" s="11" t="s">
        <v>110</v>
      </c>
      <c r="C51" s="253">
        <v>1533.7580668713595</v>
      </c>
      <c r="D51" s="253">
        <v>1674.9835793784814</v>
      </c>
      <c r="E51" s="253">
        <v>1680.7288294836496</v>
      </c>
      <c r="F51" s="253">
        <v>1749.1284778026977</v>
      </c>
      <c r="G51" s="253">
        <v>1820.052520450778</v>
      </c>
    </row>
    <row r="52" spans="2:7" ht="15.95" customHeight="1">
      <c r="B52" s="17" t="s">
        <v>1650</v>
      </c>
      <c r="C52" s="253"/>
      <c r="D52" s="253"/>
      <c r="E52" s="253"/>
      <c r="F52" s="253"/>
      <c r="G52" s="253"/>
    </row>
    <row r="53" spans="2:7" ht="15.95" customHeight="1">
      <c r="B53" s="11" t="s">
        <v>1647</v>
      </c>
      <c r="C53" s="253" t="s">
        <v>262</v>
      </c>
      <c r="D53" s="253" t="s">
        <v>262</v>
      </c>
      <c r="E53" s="253" t="s">
        <v>262</v>
      </c>
      <c r="F53" s="253" t="s">
        <v>262</v>
      </c>
      <c r="G53" s="253" t="s">
        <v>262</v>
      </c>
    </row>
    <row r="54" spans="2:7" ht="15.95" customHeight="1">
      <c r="B54" s="11" t="s">
        <v>1644</v>
      </c>
      <c r="C54" s="253" t="s">
        <v>262</v>
      </c>
      <c r="D54" s="253" t="s">
        <v>262</v>
      </c>
      <c r="E54" s="253" t="s">
        <v>262</v>
      </c>
      <c r="F54" s="253" t="s">
        <v>262</v>
      </c>
      <c r="G54" s="253" t="s">
        <v>262</v>
      </c>
    </row>
    <row r="55" spans="2:7" ht="15.95" customHeight="1">
      <c r="B55" s="11" t="s">
        <v>1641</v>
      </c>
      <c r="C55" s="253" t="s">
        <v>262</v>
      </c>
      <c r="D55" s="253" t="s">
        <v>262</v>
      </c>
      <c r="E55" s="253" t="s">
        <v>262</v>
      </c>
      <c r="F55" s="253" t="s">
        <v>262</v>
      </c>
      <c r="G55" s="253" t="s">
        <v>262</v>
      </c>
    </row>
    <row r="56" spans="2:7" ht="15.95" customHeight="1">
      <c r="B56" s="17" t="s">
        <v>1649</v>
      </c>
      <c r="C56" s="253"/>
      <c r="D56" s="253"/>
      <c r="E56" s="253"/>
      <c r="F56" s="253"/>
      <c r="G56" s="253"/>
    </row>
    <row r="57" spans="2:7" ht="15.95" customHeight="1">
      <c r="B57" s="11" t="s">
        <v>1646</v>
      </c>
      <c r="C57" s="253" t="s">
        <v>262</v>
      </c>
      <c r="D57" s="253" t="s">
        <v>262</v>
      </c>
      <c r="E57" s="253" t="s">
        <v>262</v>
      </c>
      <c r="F57" s="253" t="s">
        <v>262</v>
      </c>
      <c r="G57" s="253" t="s">
        <v>262</v>
      </c>
    </row>
    <row r="58" spans="2:7" ht="15.95" customHeight="1">
      <c r="B58" s="11" t="s">
        <v>1643</v>
      </c>
      <c r="C58" s="253" t="s">
        <v>262</v>
      </c>
      <c r="D58" s="253" t="s">
        <v>262</v>
      </c>
      <c r="E58" s="253" t="s">
        <v>262</v>
      </c>
      <c r="F58" s="253" t="s">
        <v>262</v>
      </c>
      <c r="G58" s="253" t="s">
        <v>262</v>
      </c>
    </row>
    <row r="59" spans="2:7" ht="15.95" customHeight="1">
      <c r="B59" s="11" t="s">
        <v>1640</v>
      </c>
      <c r="C59" s="253" t="s">
        <v>262</v>
      </c>
      <c r="D59" s="253" t="s">
        <v>262</v>
      </c>
      <c r="E59" s="253" t="s">
        <v>262</v>
      </c>
      <c r="F59" s="253" t="s">
        <v>262</v>
      </c>
      <c r="G59" s="253" t="s">
        <v>262</v>
      </c>
    </row>
    <row r="60" spans="2:7" ht="15.95" customHeight="1">
      <c r="B60" s="17" t="s">
        <v>169</v>
      </c>
      <c r="C60" s="253"/>
      <c r="D60" s="253"/>
      <c r="E60" s="253"/>
      <c r="F60" s="253"/>
      <c r="G60" s="253"/>
    </row>
    <row r="61" spans="2:7" ht="15.95" customHeight="1">
      <c r="B61" s="11" t="s">
        <v>98</v>
      </c>
      <c r="C61" s="253">
        <v>8899.4765362177532</v>
      </c>
      <c r="D61" s="253">
        <v>9530.8791838434299</v>
      </c>
      <c r="E61" s="253">
        <v>9572.3241009739959</v>
      </c>
      <c r="F61" s="253">
        <v>9953.5349240009491</v>
      </c>
      <c r="G61" s="253">
        <v>10359.641631389986</v>
      </c>
    </row>
    <row r="62" spans="2:7" ht="15.95" customHeight="1">
      <c r="B62" s="11" t="s">
        <v>170</v>
      </c>
      <c r="C62" s="253" t="s">
        <v>262</v>
      </c>
      <c r="D62" s="253" t="s">
        <v>262</v>
      </c>
      <c r="E62" s="253" t="s">
        <v>262</v>
      </c>
      <c r="F62" s="253" t="s">
        <v>262</v>
      </c>
      <c r="G62" s="253" t="s">
        <v>262</v>
      </c>
    </row>
    <row r="63" spans="2:7" ht="15.95" customHeight="1">
      <c r="B63" s="11" t="s">
        <v>171</v>
      </c>
      <c r="C63" s="253">
        <v>6925.1993198203809</v>
      </c>
      <c r="D63" s="253">
        <v>7431.7009781874394</v>
      </c>
      <c r="E63" s="253">
        <v>7454.949989548868</v>
      </c>
      <c r="F63" s="253">
        <v>7754.0126991123198</v>
      </c>
      <c r="G63" s="253">
        <v>8071.796014240249</v>
      </c>
    </row>
    <row r="64" spans="2:7" ht="15.95" customHeight="1">
      <c r="B64" s="17" t="s">
        <v>172</v>
      </c>
      <c r="C64" s="253"/>
      <c r="D64" s="253"/>
      <c r="E64" s="253"/>
      <c r="F64" s="253"/>
      <c r="G64" s="253"/>
    </row>
    <row r="65" spans="2:7" ht="15.95" customHeight="1">
      <c r="B65" s="11" t="s">
        <v>99</v>
      </c>
      <c r="C65" s="253">
        <v>15629.99493895615</v>
      </c>
      <c r="D65" s="253">
        <v>16750.111728611711</v>
      </c>
      <c r="E65" s="253">
        <v>16791.886483552793</v>
      </c>
      <c r="F65" s="253">
        <v>17468.851959726817</v>
      </c>
      <c r="G65" s="253">
        <v>18196.392948328627</v>
      </c>
    </row>
    <row r="66" spans="2:7" ht="15.95" customHeight="1">
      <c r="B66" s="11" t="s">
        <v>173</v>
      </c>
      <c r="C66" s="253">
        <v>8530.640868093702</v>
      </c>
      <c r="D66" s="253">
        <v>9277.8422423213688</v>
      </c>
      <c r="E66" s="253">
        <v>9264.5056122516871</v>
      </c>
      <c r="F66" s="253">
        <v>9656.9469971177659</v>
      </c>
      <c r="G66" s="253">
        <v>10063.509152865967</v>
      </c>
    </row>
    <row r="67" spans="2:7" ht="15.95" customHeight="1">
      <c r="B67" s="17" t="s">
        <v>174</v>
      </c>
      <c r="C67" s="253"/>
      <c r="D67" s="253"/>
      <c r="E67" s="253"/>
      <c r="F67" s="253"/>
      <c r="G67" s="253"/>
    </row>
    <row r="68" spans="2:7" ht="15.95" customHeight="1">
      <c r="B68" s="11" t="s">
        <v>111</v>
      </c>
      <c r="C68" s="253">
        <v>55014.104909117545</v>
      </c>
      <c r="D68" s="253">
        <v>59909.281775009047</v>
      </c>
      <c r="E68" s="253">
        <v>59865.755117373621</v>
      </c>
      <c r="F68" s="253">
        <v>62364.268913686887</v>
      </c>
      <c r="G68" s="253">
        <v>65018.437690674793</v>
      </c>
    </row>
    <row r="69" spans="2:7" ht="15.95" customHeight="1">
      <c r="B69" s="11" t="s">
        <v>175</v>
      </c>
      <c r="C69" s="253">
        <v>20409.838578887669</v>
      </c>
      <c r="D69" s="253">
        <v>21879.493557134556</v>
      </c>
      <c r="E69" s="253">
        <v>21989.95349591766</v>
      </c>
      <c r="F69" s="253">
        <v>22843.024565458916</v>
      </c>
      <c r="G69" s="253">
        <v>23788.875968559889</v>
      </c>
    </row>
    <row r="70" spans="2:7" ht="15.95" customHeight="1">
      <c r="B70" s="17" t="s">
        <v>176</v>
      </c>
      <c r="C70" s="253"/>
      <c r="D70" s="253"/>
      <c r="E70" s="253"/>
      <c r="F70" s="253"/>
      <c r="G70" s="253"/>
    </row>
    <row r="71" spans="2:7" ht="15.95" customHeight="1">
      <c r="B71" s="11" t="s">
        <v>131</v>
      </c>
      <c r="C71" s="253">
        <v>328.87126472948705</v>
      </c>
      <c r="D71" s="253">
        <v>355.18096590784603</v>
      </c>
      <c r="E71" s="253">
        <v>359.17176327759711</v>
      </c>
      <c r="F71" s="253">
        <v>372.7700357967488</v>
      </c>
      <c r="G71" s="253">
        <v>386.81173024587309</v>
      </c>
    </row>
    <row r="72" spans="2:7" ht="15.95" customHeight="1">
      <c r="B72" s="11" t="s">
        <v>177</v>
      </c>
      <c r="C72" s="253" t="s">
        <v>262</v>
      </c>
      <c r="D72" s="253" t="s">
        <v>262</v>
      </c>
      <c r="E72" s="253" t="s">
        <v>262</v>
      </c>
      <c r="F72" s="253" t="s">
        <v>262</v>
      </c>
      <c r="G72" s="253" t="s">
        <v>262</v>
      </c>
    </row>
    <row r="73" spans="2:7" ht="15.95" customHeight="1">
      <c r="B73" s="11" t="s">
        <v>178</v>
      </c>
      <c r="C73" s="253" t="s">
        <v>262</v>
      </c>
      <c r="D73" s="253" t="s">
        <v>262</v>
      </c>
      <c r="E73" s="253" t="s">
        <v>262</v>
      </c>
      <c r="F73" s="253" t="s">
        <v>262</v>
      </c>
      <c r="G73" s="253" t="s">
        <v>262</v>
      </c>
    </row>
    <row r="74" spans="2:7" ht="15.95" customHeight="1">
      <c r="B74" s="17" t="s">
        <v>179</v>
      </c>
      <c r="C74" s="253"/>
      <c r="D74" s="253"/>
      <c r="E74" s="253"/>
      <c r="F74" s="253"/>
      <c r="G74" s="253"/>
    </row>
    <row r="75" spans="2:7" ht="15.95" customHeight="1">
      <c r="B75" s="11" t="s">
        <v>132</v>
      </c>
      <c r="C75" s="253">
        <v>201.78353303400155</v>
      </c>
      <c r="D75" s="253">
        <v>216.16825909904853</v>
      </c>
      <c r="E75" s="253">
        <v>219.10878321179294</v>
      </c>
      <c r="F75" s="253">
        <v>227.13561930333847</v>
      </c>
      <c r="G75" s="253">
        <v>235.55982351822789</v>
      </c>
    </row>
    <row r="76" spans="2:7" ht="15.95" customHeight="1">
      <c r="B76" s="11" t="s">
        <v>180</v>
      </c>
      <c r="C76" s="253" t="s">
        <v>262</v>
      </c>
      <c r="D76" s="253" t="s">
        <v>262</v>
      </c>
      <c r="E76" s="253" t="s">
        <v>262</v>
      </c>
      <c r="F76" s="253" t="s">
        <v>262</v>
      </c>
      <c r="G76" s="253" t="s">
        <v>262</v>
      </c>
    </row>
    <row r="77" spans="2:7" ht="15.95" customHeight="1">
      <c r="B77" s="11" t="s">
        <v>181</v>
      </c>
      <c r="C77" s="253" t="s">
        <v>262</v>
      </c>
      <c r="D77" s="253" t="s">
        <v>262</v>
      </c>
      <c r="E77" s="253" t="s">
        <v>262</v>
      </c>
      <c r="F77" s="253" t="s">
        <v>262</v>
      </c>
      <c r="G77" s="253" t="s">
        <v>262</v>
      </c>
    </row>
    <row r="78" spans="2:7" ht="15.95" customHeight="1">
      <c r="B78" s="17" t="s">
        <v>182</v>
      </c>
      <c r="C78" s="253"/>
      <c r="D78" s="253"/>
      <c r="E78" s="253"/>
      <c r="F78" s="253"/>
      <c r="G78" s="253"/>
    </row>
    <row r="79" spans="2:7" ht="15.95" customHeight="1">
      <c r="B79" s="11" t="s">
        <v>133</v>
      </c>
      <c r="C79" s="253">
        <v>170.76205733898144</v>
      </c>
      <c r="D79" s="253">
        <v>182.875715942406</v>
      </c>
      <c r="E79" s="253">
        <v>184.81210003142928</v>
      </c>
      <c r="F79" s="253">
        <v>191.7920891895364</v>
      </c>
      <c r="G79" s="253">
        <v>199.04227147634438</v>
      </c>
    </row>
    <row r="80" spans="2:7" ht="15.95" customHeight="1">
      <c r="B80" s="11" t="s">
        <v>183</v>
      </c>
      <c r="C80" s="253" t="s">
        <v>262</v>
      </c>
      <c r="D80" s="253" t="s">
        <v>262</v>
      </c>
      <c r="E80" s="253" t="s">
        <v>262</v>
      </c>
      <c r="F80" s="253" t="s">
        <v>262</v>
      </c>
      <c r="G80" s="253" t="s">
        <v>262</v>
      </c>
    </row>
    <row r="81" spans="2:7" ht="15.95" customHeight="1">
      <c r="B81" s="11" t="s">
        <v>184</v>
      </c>
      <c r="C81" s="253" t="s">
        <v>262</v>
      </c>
      <c r="D81" s="253" t="s">
        <v>262</v>
      </c>
      <c r="E81" s="253" t="s">
        <v>262</v>
      </c>
      <c r="F81" s="253" t="s">
        <v>262</v>
      </c>
      <c r="G81" s="253" t="s">
        <v>262</v>
      </c>
    </row>
    <row r="82" spans="2:7" ht="15.95" customHeight="1">
      <c r="B82" s="17" t="s">
        <v>185</v>
      </c>
      <c r="C82" s="253"/>
      <c r="D82" s="253"/>
      <c r="E82" s="253"/>
      <c r="F82" s="253"/>
      <c r="G82" s="253"/>
    </row>
    <row r="83" spans="2:7" ht="15.95" customHeight="1">
      <c r="B83" s="11" t="s">
        <v>134</v>
      </c>
      <c r="C83" s="253">
        <v>0</v>
      </c>
      <c r="D83" s="253">
        <v>0</v>
      </c>
      <c r="E83" s="253">
        <v>0</v>
      </c>
      <c r="F83" s="253">
        <v>0</v>
      </c>
      <c r="G83" s="253">
        <v>0</v>
      </c>
    </row>
    <row r="84" spans="2:7" ht="15.95" customHeight="1">
      <c r="B84" s="11" t="s">
        <v>186</v>
      </c>
      <c r="C84" s="253" t="s">
        <v>262</v>
      </c>
      <c r="D84" s="253" t="s">
        <v>262</v>
      </c>
      <c r="E84" s="253" t="s">
        <v>262</v>
      </c>
      <c r="F84" s="253" t="s">
        <v>262</v>
      </c>
      <c r="G84" s="253" t="s">
        <v>262</v>
      </c>
    </row>
    <row r="85" spans="2:7" ht="15.95" customHeight="1">
      <c r="B85" s="11" t="s">
        <v>187</v>
      </c>
      <c r="C85" s="253" t="s">
        <v>262</v>
      </c>
      <c r="D85" s="253" t="s">
        <v>262</v>
      </c>
      <c r="E85" s="253" t="s">
        <v>262</v>
      </c>
      <c r="F85" s="253" t="s">
        <v>262</v>
      </c>
      <c r="G85" s="253" t="s">
        <v>262</v>
      </c>
    </row>
    <row r="86" spans="2:7" ht="15.95" customHeight="1">
      <c r="B86" s="17" t="s">
        <v>188</v>
      </c>
      <c r="C86" s="253"/>
      <c r="D86" s="253"/>
      <c r="E86" s="253"/>
      <c r="F86" s="253"/>
      <c r="G86" s="253"/>
    </row>
    <row r="87" spans="2:7" ht="15.95" customHeight="1">
      <c r="B87" s="11" t="s">
        <v>135</v>
      </c>
      <c r="C87" s="253">
        <v>144975.33305692574</v>
      </c>
      <c r="D87" s="253">
        <v>155493.12763426575</v>
      </c>
      <c r="E87" s="253">
        <v>157471.51587973541</v>
      </c>
      <c r="F87" s="253">
        <v>163315.17954360062</v>
      </c>
      <c r="G87" s="253">
        <v>169404.38664119755</v>
      </c>
    </row>
    <row r="88" spans="2:7" ht="15.95" customHeight="1">
      <c r="B88" s="11" t="s">
        <v>189</v>
      </c>
      <c r="C88" s="253" t="s">
        <v>262</v>
      </c>
      <c r="D88" s="253" t="s">
        <v>262</v>
      </c>
      <c r="E88" s="253" t="s">
        <v>262</v>
      </c>
      <c r="F88" s="253" t="s">
        <v>262</v>
      </c>
      <c r="G88" s="253" t="s">
        <v>262</v>
      </c>
    </row>
    <row r="89" spans="2:7" ht="15.95" customHeight="1">
      <c r="B89" s="11" t="s">
        <v>190</v>
      </c>
      <c r="C89" s="253" t="s">
        <v>262</v>
      </c>
      <c r="D89" s="253" t="s">
        <v>262</v>
      </c>
      <c r="E89" s="253" t="s">
        <v>262</v>
      </c>
      <c r="F89" s="253" t="s">
        <v>262</v>
      </c>
      <c r="G89" s="253" t="s">
        <v>262</v>
      </c>
    </row>
    <row r="90" spans="2:7" ht="15.95" customHeight="1">
      <c r="B90" s="17" t="s">
        <v>1648</v>
      </c>
      <c r="C90" s="253"/>
      <c r="D90" s="253"/>
      <c r="E90" s="253"/>
      <c r="F90" s="253"/>
      <c r="G90" s="253"/>
    </row>
    <row r="91" spans="2:7" ht="15.95" customHeight="1">
      <c r="B91" s="11" t="s">
        <v>1645</v>
      </c>
      <c r="C91" s="253">
        <v>-37.527766515876422</v>
      </c>
      <c r="D91" s="253">
        <v>-37.435105363985372</v>
      </c>
      <c r="E91" s="253">
        <v>-38.639700338569057</v>
      </c>
      <c r="F91" s="253">
        <v>-39.797964737207217</v>
      </c>
      <c r="G91" s="253">
        <v>-40.956229135845383</v>
      </c>
    </row>
    <row r="92" spans="2:7" ht="15.95" customHeight="1">
      <c r="B92" s="11" t="s">
        <v>1642</v>
      </c>
      <c r="C92" s="253" t="s">
        <v>262</v>
      </c>
      <c r="D92" s="253" t="s">
        <v>262</v>
      </c>
      <c r="E92" s="253" t="s">
        <v>262</v>
      </c>
      <c r="F92" s="253" t="s">
        <v>262</v>
      </c>
      <c r="G92" s="253" t="s">
        <v>262</v>
      </c>
    </row>
    <row r="93" spans="2:7" ht="15.95" customHeight="1">
      <c r="B93" s="11" t="s">
        <v>1639</v>
      </c>
      <c r="C93" s="253" t="s">
        <v>262</v>
      </c>
      <c r="D93" s="253" t="s">
        <v>262</v>
      </c>
      <c r="E93" s="253" t="s">
        <v>262</v>
      </c>
      <c r="F93" s="253" t="s">
        <v>262</v>
      </c>
      <c r="G93" s="253" t="s">
        <v>262</v>
      </c>
    </row>
    <row r="94" spans="2:7" ht="15.95" customHeight="1">
      <c r="B94" s="17" t="s">
        <v>191</v>
      </c>
      <c r="C94" s="253"/>
      <c r="D94" s="253"/>
      <c r="E94" s="253"/>
      <c r="F94" s="253"/>
      <c r="G94" s="253"/>
    </row>
    <row r="95" spans="2:7" ht="15.95" customHeight="1">
      <c r="B95" s="11" t="s">
        <v>100</v>
      </c>
      <c r="C95" s="253" t="s">
        <v>262</v>
      </c>
      <c r="D95" s="253" t="s">
        <v>262</v>
      </c>
      <c r="E95" s="253" t="s">
        <v>262</v>
      </c>
      <c r="F95" s="253" t="s">
        <v>262</v>
      </c>
      <c r="G95" s="253" t="s">
        <v>262</v>
      </c>
    </row>
    <row r="96" spans="2:7" ht="15.95" customHeight="1">
      <c r="B96" s="11" t="s">
        <v>192</v>
      </c>
      <c r="C96" s="253" t="s">
        <v>262</v>
      </c>
      <c r="D96" s="253" t="s">
        <v>262</v>
      </c>
      <c r="E96" s="253" t="s">
        <v>262</v>
      </c>
      <c r="F96" s="253" t="s">
        <v>262</v>
      </c>
      <c r="G96" s="253" t="s">
        <v>262</v>
      </c>
    </row>
    <row r="97" spans="2:7" ht="15.95" customHeight="1">
      <c r="B97" s="17" t="s">
        <v>193</v>
      </c>
      <c r="C97" s="253"/>
      <c r="D97" s="253"/>
      <c r="E97" s="253"/>
      <c r="F97" s="253"/>
      <c r="G97" s="253"/>
    </row>
    <row r="98" spans="2:7" ht="15.95" customHeight="1">
      <c r="B98" s="11" t="s">
        <v>101</v>
      </c>
      <c r="C98" s="253">
        <v>-522.58149888908156</v>
      </c>
      <c r="D98" s="253">
        <v>-521.29917690636887</v>
      </c>
      <c r="E98" s="253">
        <v>-538.06196542136081</v>
      </c>
      <c r="F98" s="253">
        <v>-554.19516828746214</v>
      </c>
      <c r="G98" s="253">
        <v>-570.32837115356358</v>
      </c>
    </row>
    <row r="99" spans="2:7" ht="15.95" customHeight="1">
      <c r="B99" s="11" t="s">
        <v>194</v>
      </c>
      <c r="C99" s="253" t="s">
        <v>262</v>
      </c>
      <c r="D99" s="253" t="s">
        <v>262</v>
      </c>
      <c r="E99" s="253" t="s">
        <v>262</v>
      </c>
      <c r="F99" s="253" t="s">
        <v>262</v>
      </c>
      <c r="G99" s="253" t="s">
        <v>262</v>
      </c>
    </row>
    <row r="100" spans="2:7" ht="15.95" customHeight="1">
      <c r="B100" s="11" t="s">
        <v>195</v>
      </c>
      <c r="C100" s="253" t="s">
        <v>262</v>
      </c>
      <c r="D100" s="253" t="s">
        <v>262</v>
      </c>
      <c r="E100" s="253" t="s">
        <v>262</v>
      </c>
      <c r="F100" s="253" t="s">
        <v>262</v>
      </c>
      <c r="G100" s="253" t="s">
        <v>262</v>
      </c>
    </row>
    <row r="101" spans="2:7" ht="15.95" customHeight="1">
      <c r="B101" s="17" t="s">
        <v>196</v>
      </c>
      <c r="C101" s="253"/>
      <c r="D101" s="253"/>
      <c r="E101" s="253"/>
      <c r="F101" s="253"/>
      <c r="G101" s="253"/>
    </row>
    <row r="102" spans="2:7" ht="15.95" customHeight="1">
      <c r="B102" s="11" t="s">
        <v>102</v>
      </c>
      <c r="C102" s="253">
        <v>-1351.0380001209551</v>
      </c>
      <c r="D102" s="253">
        <v>-1347.5577427204212</v>
      </c>
      <c r="E102" s="253">
        <v>-1390.381100132141</v>
      </c>
      <c r="F102" s="253">
        <v>-1432.1671326108451</v>
      </c>
      <c r="G102" s="253">
        <v>-1473.3612168944398</v>
      </c>
    </row>
    <row r="103" spans="2:7" ht="15.95" customHeight="1">
      <c r="B103" s="11" t="s">
        <v>197</v>
      </c>
      <c r="C103" s="253" t="s">
        <v>262</v>
      </c>
      <c r="D103" s="253" t="s">
        <v>262</v>
      </c>
      <c r="E103" s="253" t="s">
        <v>262</v>
      </c>
      <c r="F103" s="253" t="s">
        <v>262</v>
      </c>
      <c r="G103" s="253" t="s">
        <v>262</v>
      </c>
    </row>
    <row r="104" spans="2:7" ht="15.95" customHeight="1">
      <c r="B104" s="11" t="s">
        <v>198</v>
      </c>
      <c r="C104" s="253" t="s">
        <v>262</v>
      </c>
      <c r="D104" s="253" t="s">
        <v>262</v>
      </c>
      <c r="E104" s="253" t="s">
        <v>262</v>
      </c>
      <c r="F104" s="253" t="s">
        <v>262</v>
      </c>
      <c r="G104" s="253" t="s">
        <v>262</v>
      </c>
    </row>
    <row r="105" spans="2:7" ht="15.95" customHeight="1">
      <c r="B105" s="17" t="s">
        <v>199</v>
      </c>
      <c r="C105" s="253"/>
      <c r="D105" s="253"/>
      <c r="E105" s="253"/>
      <c r="F105" s="253"/>
      <c r="G105" s="253"/>
    </row>
    <row r="106" spans="2:7" ht="15.95" customHeight="1">
      <c r="B106" s="11" t="s">
        <v>103</v>
      </c>
      <c r="C106" s="253">
        <v>-280.64895000000001</v>
      </c>
      <c r="D106" s="253">
        <v>-279.14211</v>
      </c>
      <c r="E106" s="253">
        <v>-288.18314999999996</v>
      </c>
      <c r="F106" s="253">
        <v>-296.84748000000002</v>
      </c>
      <c r="G106" s="253">
        <v>-305.13510000000002</v>
      </c>
    </row>
    <row r="107" spans="2:7" ht="15.95" customHeight="1">
      <c r="B107" s="11" t="s">
        <v>200</v>
      </c>
      <c r="C107" s="253" t="s">
        <v>262</v>
      </c>
      <c r="D107" s="253" t="s">
        <v>262</v>
      </c>
      <c r="E107" s="253" t="s">
        <v>262</v>
      </c>
      <c r="F107" s="253" t="s">
        <v>262</v>
      </c>
      <c r="G107" s="253" t="s">
        <v>262</v>
      </c>
    </row>
    <row r="108" spans="2:7" ht="15.95" customHeight="1">
      <c r="B108" s="17" t="s">
        <v>201</v>
      </c>
      <c r="C108" s="253"/>
      <c r="D108" s="253"/>
      <c r="E108" s="253"/>
      <c r="F108" s="253"/>
      <c r="G108" s="253"/>
    </row>
    <row r="109" spans="2:7" ht="15.95" customHeight="1">
      <c r="B109" s="11" t="s">
        <v>104</v>
      </c>
      <c r="C109" s="253" t="s">
        <v>262</v>
      </c>
      <c r="D109" s="253" t="s">
        <v>262</v>
      </c>
      <c r="E109" s="253" t="s">
        <v>262</v>
      </c>
      <c r="F109" s="253" t="s">
        <v>262</v>
      </c>
      <c r="G109" s="253" t="s">
        <v>262</v>
      </c>
    </row>
    <row r="110" spans="2:7" ht="15.95" customHeight="1">
      <c r="B110" s="11" t="s">
        <v>202</v>
      </c>
      <c r="C110" s="253" t="s">
        <v>262</v>
      </c>
      <c r="D110" s="253" t="s">
        <v>262</v>
      </c>
      <c r="E110" s="253" t="s">
        <v>262</v>
      </c>
      <c r="F110" s="253" t="s">
        <v>262</v>
      </c>
      <c r="G110" s="253" t="s">
        <v>262</v>
      </c>
    </row>
    <row r="111" spans="2:7" ht="15.95" customHeight="1">
      <c r="B111" s="17" t="s">
        <v>203</v>
      </c>
      <c r="C111" s="253"/>
      <c r="D111" s="253"/>
      <c r="E111" s="253"/>
      <c r="F111" s="253"/>
      <c r="G111" s="253"/>
    </row>
    <row r="112" spans="2:7" ht="15.95" customHeight="1">
      <c r="B112" s="11" t="s">
        <v>112</v>
      </c>
      <c r="C112" s="253">
        <v>-8093.9523562812456</v>
      </c>
      <c r="D112" s="253">
        <v>-8282.3677197780089</v>
      </c>
      <c r="E112" s="253">
        <v>-8539.9874155514681</v>
      </c>
      <c r="F112" s="253">
        <v>-8797.7896113249299</v>
      </c>
      <c r="G112" s="253">
        <v>-9055.160807098393</v>
      </c>
    </row>
    <row r="113" spans="2:7" ht="15.95" customHeight="1">
      <c r="B113" s="11" t="s">
        <v>204</v>
      </c>
      <c r="C113" s="253" t="s">
        <v>262</v>
      </c>
      <c r="D113" s="253" t="s">
        <v>262</v>
      </c>
      <c r="E113" s="253" t="s">
        <v>262</v>
      </c>
      <c r="F113" s="253" t="s">
        <v>262</v>
      </c>
      <c r="G113" s="253" t="s">
        <v>262</v>
      </c>
    </row>
    <row r="114" spans="2:7" ht="15.95" customHeight="1">
      <c r="B114" s="17" t="s">
        <v>205</v>
      </c>
      <c r="C114" s="253"/>
      <c r="D114" s="253"/>
      <c r="E114" s="253"/>
      <c r="F114" s="253"/>
      <c r="G114" s="253"/>
    </row>
    <row r="115" spans="2:7" ht="15.95" customHeight="1">
      <c r="B115" s="11" t="s">
        <v>113</v>
      </c>
      <c r="C115" s="253">
        <v>-21027.344115352746</v>
      </c>
      <c r="D115" s="253">
        <v>-21503.760333096849</v>
      </c>
      <c r="E115" s="253">
        <v>-22202.708528243304</v>
      </c>
      <c r="F115" s="253">
        <v>-22868.680639587412</v>
      </c>
      <c r="G115" s="253">
        <v>-23524.143169192925</v>
      </c>
    </row>
    <row r="116" spans="2:7" ht="15.95" customHeight="1">
      <c r="B116" s="11" t="s">
        <v>206</v>
      </c>
      <c r="C116" s="253" t="s">
        <v>262</v>
      </c>
      <c r="D116" s="253" t="s">
        <v>262</v>
      </c>
      <c r="E116" s="253" t="s">
        <v>262</v>
      </c>
      <c r="F116" s="253" t="s">
        <v>262</v>
      </c>
      <c r="G116" s="253" t="s">
        <v>262</v>
      </c>
    </row>
  </sheetData>
  <mergeCells count="1">
    <mergeCell ref="B3:F5"/>
  </mergeCells>
  <pageMargins left="0.74803149606299213" right="0.74803149606299213" top="0.98425196850393704" bottom="0.98425196850393704" header="0.51181102362204722" footer="0.51181102362204722"/>
  <pageSetup paperSize="9" scale="41" fitToHeight="2" orientation="portrait" r:id="rId1"/>
  <headerFooter alignWithMargins="0"/>
  <rowBreaks count="1" manualBreakCount="1">
    <brk id="69" min="1" max="6"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dimension ref="A1:K298"/>
  <sheetViews>
    <sheetView showFormulas="1" showGridLines="0" workbookViewId="0"/>
  </sheetViews>
  <sheetFormatPr defaultColWidth="8.85546875" defaultRowHeight="12.75"/>
  <cols>
    <col min="1" max="1" width="50.7109375" style="43" customWidth="1"/>
    <col min="2" max="251" width="20.7109375" style="43" customWidth="1"/>
    <col min="252" max="16384" width="8.85546875" style="43"/>
  </cols>
  <sheetData>
    <row r="1" spans="1:7" ht="15.75">
      <c r="A1" s="274" t="s">
        <v>1637</v>
      </c>
    </row>
    <row r="4" spans="1:7" ht="15.75">
      <c r="A4" s="168" t="s">
        <v>0</v>
      </c>
    </row>
    <row r="5" spans="1:7" ht="14.25">
      <c r="A5" s="231" t="s">
        <v>262</v>
      </c>
    </row>
    <row r="6" spans="1:7">
      <c r="B6" s="230" t="s">
        <v>1</v>
      </c>
      <c r="C6" s="230" t="s">
        <v>2</v>
      </c>
      <c r="D6" s="230" t="s">
        <v>3</v>
      </c>
    </row>
    <row r="7" spans="1:7" ht="14.25">
      <c r="A7" s="190" t="s">
        <v>4</v>
      </c>
      <c r="B7" s="273">
        <v>2</v>
      </c>
      <c r="C7" s="273">
        <v>3</v>
      </c>
      <c r="D7" s="273">
        <v>4</v>
      </c>
      <c r="E7" s="229" t="s">
        <v>262</v>
      </c>
    </row>
    <row r="9" spans="1:7" ht="15.75">
      <c r="A9" s="168" t="s">
        <v>45</v>
      </c>
    </row>
    <row r="10" spans="1:7" ht="14.25">
      <c r="A10" s="194"/>
    </row>
    <row r="11" spans="1:7">
      <c r="A11" s="43" t="s">
        <v>46</v>
      </c>
    </row>
    <row r="12" spans="1:7">
      <c r="A12" s="43" t="s">
        <v>47</v>
      </c>
    </row>
    <row r="13" spans="1:7" ht="38.25">
      <c r="B13" s="230" t="s">
        <v>48</v>
      </c>
      <c r="C13" s="230" t="s">
        <v>49</v>
      </c>
      <c r="D13" s="230" t="s">
        <v>50</v>
      </c>
      <c r="E13" s="230" t="s">
        <v>51</v>
      </c>
      <c r="F13" s="230" t="s">
        <v>1471</v>
      </c>
    </row>
    <row r="14" spans="1:7" ht="14.25">
      <c r="A14" s="190" t="s">
        <v>52</v>
      </c>
      <c r="B14" s="273">
        <v>6</v>
      </c>
      <c r="C14" s="273">
        <v>7</v>
      </c>
      <c r="D14" s="273"/>
      <c r="E14" s="273">
        <v>8</v>
      </c>
      <c r="F14" s="273">
        <v>9</v>
      </c>
      <c r="G14" s="229" t="s">
        <v>262</v>
      </c>
    </row>
    <row r="16" spans="1:7" ht="15.75">
      <c r="A16" s="168" t="s">
        <v>53</v>
      </c>
    </row>
    <row r="17" spans="1:3" ht="14.25">
      <c r="A17" s="194"/>
    </row>
    <row r="18" spans="1:3">
      <c r="A18" s="43" t="s">
        <v>54</v>
      </c>
    </row>
    <row r="19" spans="1:3">
      <c r="A19" s="43" t="s">
        <v>55</v>
      </c>
    </row>
    <row r="20" spans="1:3">
      <c r="A20" s="43" t="s">
        <v>56</v>
      </c>
    </row>
    <row r="21" spans="1:3">
      <c r="A21" s="43" t="s">
        <v>57</v>
      </c>
    </row>
    <row r="22" spans="1:3">
      <c r="A22" s="43" t="s">
        <v>58</v>
      </c>
    </row>
    <row r="23" spans="1:3" ht="51">
      <c r="B23" s="230" t="s">
        <v>59</v>
      </c>
    </row>
    <row r="24" spans="1:3" ht="14.25">
      <c r="A24" s="190" t="s">
        <v>60</v>
      </c>
      <c r="B24" s="273">
        <v>11</v>
      </c>
      <c r="C24" s="229" t="s">
        <v>262</v>
      </c>
    </row>
    <row r="25" spans="1:3" ht="14.25">
      <c r="A25" s="190" t="s">
        <v>61</v>
      </c>
      <c r="B25" s="273">
        <v>12</v>
      </c>
      <c r="C25" s="229" t="s">
        <v>262</v>
      </c>
    </row>
    <row r="26" spans="1:3" ht="14.25">
      <c r="A26" s="190" t="s">
        <v>62</v>
      </c>
      <c r="B26" s="273"/>
      <c r="C26" s="229" t="s">
        <v>262</v>
      </c>
    </row>
    <row r="27" spans="1:3" ht="14.25">
      <c r="A27" s="190" t="s">
        <v>63</v>
      </c>
      <c r="B27" s="273">
        <v>13</v>
      </c>
      <c r="C27" s="229" t="s">
        <v>262</v>
      </c>
    </row>
    <row r="28" spans="1:3" ht="14.25">
      <c r="A28" s="190" t="s">
        <v>64</v>
      </c>
      <c r="B28" s="273"/>
      <c r="C28" s="229" t="s">
        <v>262</v>
      </c>
    </row>
    <row r="29" spans="1:3" ht="14.25">
      <c r="A29" s="190" t="s">
        <v>65</v>
      </c>
      <c r="B29" s="273">
        <v>14</v>
      </c>
      <c r="C29" s="229" t="s">
        <v>262</v>
      </c>
    </row>
    <row r="30" spans="1:3" ht="14.25">
      <c r="A30" s="190" t="s">
        <v>66</v>
      </c>
      <c r="B30" s="273"/>
      <c r="C30" s="229" t="s">
        <v>262</v>
      </c>
    </row>
    <row r="31" spans="1:3" ht="14.25">
      <c r="A31" s="190" t="s">
        <v>67</v>
      </c>
      <c r="B31" s="273"/>
      <c r="C31" s="229" t="s">
        <v>262</v>
      </c>
    </row>
    <row r="33" spans="1:3" ht="15.75">
      <c r="A33" s="168" t="s">
        <v>68</v>
      </c>
    </row>
    <row r="34" spans="1:3" ht="14.25">
      <c r="A34" s="231" t="s">
        <v>262</v>
      </c>
    </row>
    <row r="35" spans="1:3">
      <c r="B35" s="230" t="s">
        <v>69</v>
      </c>
    </row>
    <row r="36" spans="1:3" ht="14.25">
      <c r="A36" s="190" t="s">
        <v>64</v>
      </c>
      <c r="B36" s="273">
        <v>15</v>
      </c>
      <c r="C36" s="229" t="s">
        <v>262</v>
      </c>
    </row>
    <row r="38" spans="1:3" ht="15.75">
      <c r="A38" s="168" t="s">
        <v>70</v>
      </c>
    </row>
    <row r="39" spans="1:3" ht="14.25">
      <c r="A39" s="194"/>
    </row>
    <row r="40" spans="1:3" ht="25.5">
      <c r="B40" s="230" t="s">
        <v>71</v>
      </c>
    </row>
    <row r="41" spans="1:3" ht="14.25">
      <c r="A41" s="190" t="s">
        <v>71</v>
      </c>
      <c r="B41" s="273">
        <v>16</v>
      </c>
      <c r="C41" s="229" t="s">
        <v>262</v>
      </c>
    </row>
    <row r="43" spans="1:3" ht="15.75">
      <c r="A43" s="168" t="s">
        <v>72</v>
      </c>
    </row>
    <row r="44" spans="1:3" ht="14.25">
      <c r="A44" s="194"/>
    </row>
    <row r="45" spans="1:3">
      <c r="B45" s="230" t="s">
        <v>73</v>
      </c>
    </row>
    <row r="46" spans="1:3" ht="14.25">
      <c r="A46" s="190" t="s">
        <v>61</v>
      </c>
      <c r="B46" s="273">
        <v>18</v>
      </c>
      <c r="C46" s="229" t="s">
        <v>262</v>
      </c>
    </row>
    <row r="47" spans="1:3" ht="14.25">
      <c r="A47" s="190" t="s">
        <v>62</v>
      </c>
      <c r="B47" s="273">
        <v>19</v>
      </c>
      <c r="C47" s="229" t="s">
        <v>262</v>
      </c>
    </row>
    <row r="48" spans="1:3" ht="14.25">
      <c r="A48" s="190" t="s">
        <v>63</v>
      </c>
      <c r="B48" s="273">
        <v>20</v>
      </c>
      <c r="C48" s="229" t="s">
        <v>262</v>
      </c>
    </row>
    <row r="49" spans="1:10" ht="14.25">
      <c r="A49" s="190" t="s">
        <v>64</v>
      </c>
      <c r="B49" s="273">
        <v>21</v>
      </c>
      <c r="C49" s="229" t="s">
        <v>262</v>
      </c>
    </row>
    <row r="50" spans="1:10" ht="14.25">
      <c r="A50" s="190" t="s">
        <v>69</v>
      </c>
      <c r="B50" s="273">
        <v>22</v>
      </c>
      <c r="C50" s="229" t="s">
        <v>262</v>
      </c>
    </row>
    <row r="51" spans="1:10" ht="14.25">
      <c r="A51" s="190" t="s">
        <v>65</v>
      </c>
      <c r="B51" s="273">
        <v>23</v>
      </c>
      <c r="C51" s="229" t="s">
        <v>262</v>
      </c>
    </row>
    <row r="52" spans="1:10" ht="14.25">
      <c r="A52" s="190" t="s">
        <v>66</v>
      </c>
      <c r="B52" s="273">
        <v>24</v>
      </c>
      <c r="C52" s="229" t="s">
        <v>262</v>
      </c>
    </row>
    <row r="53" spans="1:10" ht="14.25">
      <c r="A53" s="190" t="s">
        <v>67</v>
      </c>
      <c r="B53" s="273">
        <v>25</v>
      </c>
      <c r="C53" s="229" t="s">
        <v>262</v>
      </c>
    </row>
    <row r="55" spans="1:10" ht="15.75">
      <c r="A55" s="168" t="s">
        <v>74</v>
      </c>
    </row>
    <row r="56" spans="1:10" ht="14.25">
      <c r="A56" s="194"/>
    </row>
    <row r="57" spans="1:10">
      <c r="B57" s="230" t="s">
        <v>75</v>
      </c>
      <c r="C57" s="230" t="s">
        <v>76</v>
      </c>
      <c r="D57" s="230" t="s">
        <v>77</v>
      </c>
      <c r="E57" s="230" t="s">
        <v>78</v>
      </c>
      <c r="F57" s="230" t="s">
        <v>79</v>
      </c>
      <c r="G57" s="230" t="s">
        <v>80</v>
      </c>
      <c r="H57" s="230" t="s">
        <v>81</v>
      </c>
      <c r="I57" s="230" t="s">
        <v>82</v>
      </c>
    </row>
    <row r="58" spans="1:10" ht="14.25">
      <c r="A58" s="190" t="s">
        <v>83</v>
      </c>
      <c r="B58" s="273">
        <v>27</v>
      </c>
      <c r="C58" s="273">
        <v>28</v>
      </c>
      <c r="D58" s="273">
        <v>29</v>
      </c>
      <c r="E58" s="273">
        <v>30</v>
      </c>
      <c r="F58" s="273">
        <v>31</v>
      </c>
      <c r="G58" s="273">
        <v>32</v>
      </c>
      <c r="H58" s="273">
        <v>33</v>
      </c>
      <c r="I58" s="273">
        <v>34</v>
      </c>
      <c r="J58" s="229" t="s">
        <v>262</v>
      </c>
    </row>
    <row r="60" spans="1:10" ht="15.75">
      <c r="A60" s="168" t="s">
        <v>84</v>
      </c>
    </row>
    <row r="61" spans="1:10" ht="14.25">
      <c r="A61" s="194"/>
    </row>
    <row r="62" spans="1:10">
      <c r="B62" s="230" t="s">
        <v>85</v>
      </c>
      <c r="C62" s="230" t="s">
        <v>86</v>
      </c>
      <c r="D62" s="230" t="s">
        <v>87</v>
      </c>
      <c r="E62" s="230" t="s">
        <v>88</v>
      </c>
      <c r="F62" s="230" t="s">
        <v>89</v>
      </c>
    </row>
    <row r="63" spans="1:10" ht="14.25">
      <c r="A63" s="190" t="s">
        <v>90</v>
      </c>
      <c r="B63" s="273">
        <v>36</v>
      </c>
      <c r="C63" s="273">
        <v>37</v>
      </c>
      <c r="D63" s="273">
        <v>38</v>
      </c>
      <c r="E63" s="273">
        <v>39</v>
      </c>
      <c r="F63" s="273">
        <v>40</v>
      </c>
      <c r="G63" s="229" t="s">
        <v>262</v>
      </c>
    </row>
    <row r="65" spans="1:9" ht="15.75">
      <c r="A65" s="168" t="s">
        <v>114</v>
      </c>
    </row>
    <row r="66" spans="1:9" ht="14.25">
      <c r="A66" s="231" t="s">
        <v>262</v>
      </c>
    </row>
    <row r="67" spans="1:9">
      <c r="A67" s="43" t="s">
        <v>115</v>
      </c>
    </row>
    <row r="68" spans="1:9">
      <c r="B68" s="230" t="s">
        <v>61</v>
      </c>
      <c r="C68" s="230" t="s">
        <v>62</v>
      </c>
      <c r="D68" s="230" t="s">
        <v>63</v>
      </c>
      <c r="E68" s="230" t="s">
        <v>64</v>
      </c>
      <c r="F68" s="230" t="s">
        <v>65</v>
      </c>
      <c r="G68" s="230" t="s">
        <v>66</v>
      </c>
      <c r="H68" s="230" t="s">
        <v>67</v>
      </c>
    </row>
    <row r="69" spans="1:9" ht="14.25">
      <c r="A69" s="190" t="s">
        <v>116</v>
      </c>
      <c r="B69" s="273">
        <v>45</v>
      </c>
      <c r="C69" s="273">
        <v>46</v>
      </c>
      <c r="D69" s="273">
        <v>47</v>
      </c>
      <c r="E69" s="273">
        <v>48</v>
      </c>
      <c r="F69" s="273">
        <v>49</v>
      </c>
      <c r="G69" s="273">
        <v>50</v>
      </c>
      <c r="H69" s="273">
        <v>51</v>
      </c>
      <c r="I69" s="229" t="s">
        <v>262</v>
      </c>
    </row>
    <row r="71" spans="1:9" ht="15.75">
      <c r="A71" s="168" t="s">
        <v>117</v>
      </c>
    </row>
    <row r="72" spans="1:9" ht="14.25">
      <c r="A72" s="231" t="s">
        <v>262</v>
      </c>
    </row>
    <row r="73" spans="1:9">
      <c r="A73" s="43" t="s">
        <v>118</v>
      </c>
    </row>
    <row r="74" spans="1:9" ht="25.5">
      <c r="B74" s="230" t="s">
        <v>119</v>
      </c>
      <c r="C74" s="230" t="s">
        <v>120</v>
      </c>
      <c r="D74" s="230" t="s">
        <v>121</v>
      </c>
      <c r="E74" s="230" t="s">
        <v>122</v>
      </c>
      <c r="F74" s="230" t="s">
        <v>123</v>
      </c>
    </row>
    <row r="75" spans="1:9" ht="14.25">
      <c r="A75" s="190" t="s">
        <v>124</v>
      </c>
      <c r="B75" s="273"/>
      <c r="C75" s="273">
        <v>53</v>
      </c>
      <c r="D75" s="273">
        <v>54</v>
      </c>
      <c r="E75" s="273">
        <v>55</v>
      </c>
      <c r="F75" s="273">
        <v>56</v>
      </c>
      <c r="G75" s="229" t="s">
        <v>262</v>
      </c>
    </row>
    <row r="77" spans="1:9" ht="15.75">
      <c r="A77" s="168" t="s">
        <v>125</v>
      </c>
    </row>
    <row r="78" spans="1:9" ht="14.25">
      <c r="A78" s="194"/>
    </row>
    <row r="79" spans="1:9">
      <c r="A79" s="43" t="s">
        <v>126</v>
      </c>
    </row>
    <row r="80" spans="1:9">
      <c r="B80" s="230" t="s">
        <v>127</v>
      </c>
      <c r="C80" s="230" t="s">
        <v>128</v>
      </c>
    </row>
    <row r="81" spans="1:4" ht="15">
      <c r="A81" s="11" t="s">
        <v>92</v>
      </c>
      <c r="B81" s="273">
        <f>'CDCM Forecast Data'!A71</f>
        <v>58</v>
      </c>
      <c r="C81" s="273">
        <f>'CDCM Forecast Data'!A91</f>
        <v>78</v>
      </c>
      <c r="D81" s="229" t="s">
        <v>262</v>
      </c>
    </row>
    <row r="82" spans="1:4" ht="15">
      <c r="A82" s="11" t="s">
        <v>93</v>
      </c>
      <c r="B82" s="273">
        <f>'CDCM Forecast Data'!A72</f>
        <v>59</v>
      </c>
      <c r="C82" s="273">
        <f>'CDCM Forecast Data'!A92</f>
        <v>79</v>
      </c>
      <c r="D82" s="229" t="s">
        <v>262</v>
      </c>
    </row>
    <row r="83" spans="1:4" ht="15">
      <c r="A83" s="11" t="s">
        <v>129</v>
      </c>
      <c r="B83" s="273">
        <f>'CDCM Forecast Data'!A73</f>
        <v>60</v>
      </c>
      <c r="C83" s="273">
        <f>'CDCM Forecast Data'!A93</f>
        <v>80</v>
      </c>
      <c r="D83" s="229" t="s">
        <v>262</v>
      </c>
    </row>
    <row r="84" spans="1:4" ht="15">
      <c r="A84" s="11" t="s">
        <v>94</v>
      </c>
      <c r="B84" s="273">
        <f>'CDCM Forecast Data'!A74</f>
        <v>61</v>
      </c>
      <c r="C84" s="273">
        <f>'CDCM Forecast Data'!A94</f>
        <v>81</v>
      </c>
      <c r="D84" s="229" t="s">
        <v>262</v>
      </c>
    </row>
    <row r="85" spans="1:4" ht="15">
      <c r="A85" s="11" t="s">
        <v>95</v>
      </c>
      <c r="B85" s="273">
        <f>'CDCM Forecast Data'!A75</f>
        <v>62</v>
      </c>
      <c r="C85" s="273">
        <f>'CDCM Forecast Data'!A95</f>
        <v>82</v>
      </c>
      <c r="D85" s="229" t="s">
        <v>262</v>
      </c>
    </row>
    <row r="86" spans="1:4" ht="15">
      <c r="A86" s="11" t="s">
        <v>130</v>
      </c>
      <c r="B86" s="273">
        <f>'CDCM Forecast Data'!A76</f>
        <v>63</v>
      </c>
      <c r="C86" s="273">
        <f>'CDCM Forecast Data'!A96</f>
        <v>83</v>
      </c>
      <c r="D86" s="229" t="s">
        <v>262</v>
      </c>
    </row>
    <row r="87" spans="1:4" ht="15">
      <c r="A87" s="11" t="s">
        <v>96</v>
      </c>
      <c r="B87" s="273">
        <f>'CDCM Forecast Data'!A77</f>
        <v>64</v>
      </c>
      <c r="C87" s="273">
        <f>'CDCM Forecast Data'!A97</f>
        <v>84</v>
      </c>
      <c r="D87" s="229" t="s">
        <v>262</v>
      </c>
    </row>
    <row r="88" spans="1:4" ht="15">
      <c r="A88" s="11" t="s">
        <v>97</v>
      </c>
      <c r="B88" s="273">
        <f>'CDCM Forecast Data'!A78</f>
        <v>65</v>
      </c>
      <c r="C88" s="273">
        <f>'CDCM Forecast Data'!A98</f>
        <v>85</v>
      </c>
      <c r="D88" s="229" t="s">
        <v>262</v>
      </c>
    </row>
    <row r="89" spans="1:4" ht="15">
      <c r="A89" s="11" t="s">
        <v>110</v>
      </c>
      <c r="B89" s="273">
        <f>'CDCM Forecast Data'!A79</f>
        <v>66</v>
      </c>
      <c r="C89" s="273">
        <f>'CDCM Forecast Data'!A99</f>
        <v>86</v>
      </c>
      <c r="D89" s="229" t="s">
        <v>262</v>
      </c>
    </row>
    <row r="90" spans="1:4" ht="15">
      <c r="A90" s="11" t="s">
        <v>1647</v>
      </c>
      <c r="B90" s="273">
        <f>'CDCM Forecast Data'!A80</f>
        <v>67</v>
      </c>
      <c r="C90" s="273">
        <f>'CDCM Forecast Data'!A100</f>
        <v>87</v>
      </c>
      <c r="D90" s="229"/>
    </row>
    <row r="91" spans="1:4" ht="15">
      <c r="A91" s="11" t="s">
        <v>1646</v>
      </c>
      <c r="B91" s="273">
        <f>'CDCM Forecast Data'!A81</f>
        <v>68</v>
      </c>
      <c r="C91" s="273">
        <f>'CDCM Forecast Data'!A101</f>
        <v>88</v>
      </c>
      <c r="D91" s="229" t="s">
        <v>262</v>
      </c>
    </row>
    <row r="92" spans="1:4" ht="15">
      <c r="A92" s="11" t="s">
        <v>98</v>
      </c>
      <c r="B92" s="273">
        <f>'CDCM Forecast Data'!A82</f>
        <v>69</v>
      </c>
      <c r="C92" s="273">
        <f>'CDCM Forecast Data'!A102</f>
        <v>89</v>
      </c>
      <c r="D92" s="229" t="s">
        <v>262</v>
      </c>
    </row>
    <row r="93" spans="1:4" ht="15">
      <c r="A93" s="11" t="s">
        <v>99</v>
      </c>
      <c r="B93" s="273">
        <f>'CDCM Forecast Data'!A83</f>
        <v>70</v>
      </c>
      <c r="C93" s="273">
        <f>'CDCM Forecast Data'!A103</f>
        <v>90</v>
      </c>
      <c r="D93" s="229" t="s">
        <v>262</v>
      </c>
    </row>
    <row r="94" spans="1:4" ht="15">
      <c r="A94" s="11" t="s">
        <v>111</v>
      </c>
      <c r="B94" s="273">
        <f>'CDCM Forecast Data'!A84</f>
        <v>71</v>
      </c>
      <c r="C94" s="273">
        <f>'CDCM Forecast Data'!A104</f>
        <v>91</v>
      </c>
      <c r="D94" s="229" t="s">
        <v>262</v>
      </c>
    </row>
    <row r="95" spans="1:4" ht="15">
      <c r="A95" s="11" t="s">
        <v>131</v>
      </c>
      <c r="B95" s="273">
        <f>'CDCM Forecast Data'!A85</f>
        <v>72</v>
      </c>
      <c r="C95" s="273">
        <f>'CDCM Forecast Data'!A105</f>
        <v>92</v>
      </c>
      <c r="D95" s="229" t="s">
        <v>262</v>
      </c>
    </row>
    <row r="96" spans="1:4" ht="15">
      <c r="A96" s="11" t="s">
        <v>132</v>
      </c>
      <c r="B96" s="273">
        <f>'CDCM Forecast Data'!A86</f>
        <v>73</v>
      </c>
      <c r="C96" s="273">
        <f>'CDCM Forecast Data'!A106</f>
        <v>93</v>
      </c>
      <c r="D96" s="229" t="s">
        <v>262</v>
      </c>
    </row>
    <row r="97" spans="1:4" ht="15">
      <c r="A97" s="11" t="s">
        <v>133</v>
      </c>
      <c r="B97" s="273">
        <f>'CDCM Forecast Data'!A87</f>
        <v>74</v>
      </c>
      <c r="C97" s="273">
        <f>'CDCM Forecast Data'!A107</f>
        <v>94</v>
      </c>
      <c r="D97" s="229" t="s">
        <v>262</v>
      </c>
    </row>
    <row r="98" spans="1:4" ht="15">
      <c r="A98" s="11" t="s">
        <v>134</v>
      </c>
      <c r="B98" s="273">
        <f>'CDCM Forecast Data'!A88</f>
        <v>75</v>
      </c>
      <c r="C98" s="273">
        <f>'CDCM Forecast Data'!A108</f>
        <v>95</v>
      </c>
      <c r="D98" s="229" t="s">
        <v>262</v>
      </c>
    </row>
    <row r="99" spans="1:4" ht="15">
      <c r="A99" s="11" t="s">
        <v>135</v>
      </c>
      <c r="B99" s="273">
        <f>'CDCM Forecast Data'!A89</f>
        <v>76</v>
      </c>
      <c r="C99" s="273">
        <f>'CDCM Forecast Data'!A109</f>
        <v>96</v>
      </c>
      <c r="D99" s="229" t="s">
        <v>262</v>
      </c>
    </row>
    <row r="101" spans="1:4" ht="15.75">
      <c r="A101" s="168" t="s">
        <v>136</v>
      </c>
    </row>
    <row r="102" spans="1:4" ht="14.25">
      <c r="A102" s="231" t="s">
        <v>262</v>
      </c>
    </row>
    <row r="103" spans="1:4">
      <c r="A103" s="43" t="s">
        <v>137</v>
      </c>
    </row>
    <row r="104" spans="1:4">
      <c r="A104" s="43" t="s">
        <v>138</v>
      </c>
    </row>
    <row r="105" spans="1:4">
      <c r="A105" s="43" t="s">
        <v>139</v>
      </c>
    </row>
    <row r="106" spans="1:4">
      <c r="B106" s="230" t="s">
        <v>140</v>
      </c>
    </row>
    <row r="107" spans="1:4" ht="15">
      <c r="A107" s="17" t="s">
        <v>146</v>
      </c>
      <c r="B107" s="273">
        <v>1</v>
      </c>
    </row>
    <row r="108" spans="1:4" ht="15">
      <c r="A108" s="11" t="s">
        <v>92</v>
      </c>
      <c r="B108" s="273">
        <f>B107+1</f>
        <v>2</v>
      </c>
    </row>
    <row r="109" spans="1:4" ht="15">
      <c r="A109" s="11" t="s">
        <v>147</v>
      </c>
      <c r="B109" s="273">
        <f t="shared" ref="B109:B172" si="0">B108+1</f>
        <v>3</v>
      </c>
    </row>
    <row r="110" spans="1:4" ht="15">
      <c r="A110" s="11" t="s">
        <v>148</v>
      </c>
      <c r="B110" s="273">
        <f t="shared" si="0"/>
        <v>4</v>
      </c>
    </row>
    <row r="111" spans="1:4" ht="15">
      <c r="A111" s="17" t="s">
        <v>149</v>
      </c>
      <c r="B111" s="273">
        <f t="shared" si="0"/>
        <v>5</v>
      </c>
    </row>
    <row r="112" spans="1:4" ht="15">
      <c r="A112" s="11" t="s">
        <v>93</v>
      </c>
      <c r="B112" s="273">
        <f t="shared" si="0"/>
        <v>6</v>
      </c>
    </row>
    <row r="113" spans="1:2" ht="15">
      <c r="A113" s="11" t="s">
        <v>150</v>
      </c>
      <c r="B113" s="273">
        <f t="shared" si="0"/>
        <v>7</v>
      </c>
    </row>
    <row r="114" spans="1:2" ht="15">
      <c r="A114" s="11" t="s">
        <v>151</v>
      </c>
      <c r="B114" s="273">
        <f t="shared" si="0"/>
        <v>8</v>
      </c>
    </row>
    <row r="115" spans="1:2" ht="15">
      <c r="A115" s="17" t="s">
        <v>152</v>
      </c>
      <c r="B115" s="273">
        <f t="shared" si="0"/>
        <v>9</v>
      </c>
    </row>
    <row r="116" spans="1:2" ht="15">
      <c r="A116" s="11" t="s">
        <v>129</v>
      </c>
      <c r="B116" s="273">
        <f t="shared" si="0"/>
        <v>10</v>
      </c>
    </row>
    <row r="117" spans="1:2" ht="15">
      <c r="A117" s="11" t="s">
        <v>153</v>
      </c>
      <c r="B117" s="273">
        <f t="shared" si="0"/>
        <v>11</v>
      </c>
    </row>
    <row r="118" spans="1:2" ht="15">
      <c r="A118" s="11" t="s">
        <v>154</v>
      </c>
      <c r="B118" s="273">
        <f t="shared" si="0"/>
        <v>12</v>
      </c>
    </row>
    <row r="119" spans="1:2" ht="15">
      <c r="A119" s="17" t="s">
        <v>155</v>
      </c>
      <c r="B119" s="273">
        <f t="shared" si="0"/>
        <v>13</v>
      </c>
    </row>
    <row r="120" spans="1:2" ht="15">
      <c r="A120" s="11" t="s">
        <v>94</v>
      </c>
      <c r="B120" s="273">
        <f t="shared" si="0"/>
        <v>14</v>
      </c>
    </row>
    <row r="121" spans="1:2" ht="15">
      <c r="A121" s="11" t="s">
        <v>156</v>
      </c>
      <c r="B121" s="273">
        <f t="shared" si="0"/>
        <v>15</v>
      </c>
    </row>
    <row r="122" spans="1:2" ht="15">
      <c r="A122" s="11" t="s">
        <v>157</v>
      </c>
      <c r="B122" s="273">
        <f t="shared" si="0"/>
        <v>16</v>
      </c>
    </row>
    <row r="123" spans="1:2" ht="15">
      <c r="A123" s="17" t="s">
        <v>158</v>
      </c>
      <c r="B123" s="273">
        <f t="shared" si="0"/>
        <v>17</v>
      </c>
    </row>
    <row r="124" spans="1:2" ht="15">
      <c r="A124" s="11" t="s">
        <v>95</v>
      </c>
      <c r="B124" s="273">
        <f t="shared" si="0"/>
        <v>18</v>
      </c>
    </row>
    <row r="125" spans="1:2" ht="15">
      <c r="A125" s="11" t="s">
        <v>159</v>
      </c>
      <c r="B125" s="273">
        <f t="shared" si="0"/>
        <v>19</v>
      </c>
    </row>
    <row r="126" spans="1:2" ht="15">
      <c r="A126" s="11" t="s">
        <v>160</v>
      </c>
      <c r="B126" s="273">
        <f t="shared" si="0"/>
        <v>20</v>
      </c>
    </row>
    <row r="127" spans="1:2" ht="15">
      <c r="A127" s="17" t="s">
        <v>161</v>
      </c>
      <c r="B127" s="273">
        <f t="shared" si="0"/>
        <v>21</v>
      </c>
    </row>
    <row r="128" spans="1:2" ht="15">
      <c r="A128" s="11" t="s">
        <v>130</v>
      </c>
      <c r="B128" s="273">
        <f t="shared" si="0"/>
        <v>22</v>
      </c>
    </row>
    <row r="129" spans="1:2" ht="30">
      <c r="A129" s="11" t="s">
        <v>162</v>
      </c>
      <c r="B129" s="273">
        <f t="shared" si="0"/>
        <v>23</v>
      </c>
    </row>
    <row r="130" spans="1:2" ht="30">
      <c r="A130" s="11" t="s">
        <v>163</v>
      </c>
      <c r="B130" s="273">
        <f t="shared" si="0"/>
        <v>24</v>
      </c>
    </row>
    <row r="131" spans="1:2" ht="15">
      <c r="A131" s="17" t="s">
        <v>164</v>
      </c>
      <c r="B131" s="273">
        <f t="shared" si="0"/>
        <v>25</v>
      </c>
    </row>
    <row r="132" spans="1:2" ht="15">
      <c r="A132" s="11" t="s">
        <v>96</v>
      </c>
      <c r="B132" s="273">
        <f t="shared" si="0"/>
        <v>26</v>
      </c>
    </row>
    <row r="133" spans="1:2" ht="15">
      <c r="A133" s="11" t="s">
        <v>165</v>
      </c>
      <c r="B133" s="273">
        <f t="shared" si="0"/>
        <v>27</v>
      </c>
    </row>
    <row r="134" spans="1:2" ht="15">
      <c r="A134" s="11" t="s">
        <v>166</v>
      </c>
      <c r="B134" s="273">
        <f t="shared" si="0"/>
        <v>28</v>
      </c>
    </row>
    <row r="135" spans="1:2" ht="15">
      <c r="A135" s="17" t="s">
        <v>167</v>
      </c>
      <c r="B135" s="273">
        <f t="shared" si="0"/>
        <v>29</v>
      </c>
    </row>
    <row r="136" spans="1:2" ht="15">
      <c r="A136" s="11" t="s">
        <v>97</v>
      </c>
      <c r="B136" s="273">
        <f t="shared" si="0"/>
        <v>30</v>
      </c>
    </row>
    <row r="137" spans="1:2" ht="15">
      <c r="A137" s="17" t="s">
        <v>168</v>
      </c>
      <c r="B137" s="273">
        <f t="shared" si="0"/>
        <v>31</v>
      </c>
    </row>
    <row r="138" spans="1:2" ht="15">
      <c r="A138" s="11" t="s">
        <v>110</v>
      </c>
      <c r="B138" s="273">
        <f t="shared" si="0"/>
        <v>32</v>
      </c>
    </row>
    <row r="139" spans="1:2" ht="15">
      <c r="A139" s="17" t="s">
        <v>1650</v>
      </c>
      <c r="B139" s="273">
        <f t="shared" si="0"/>
        <v>33</v>
      </c>
    </row>
    <row r="140" spans="1:2" ht="15">
      <c r="A140" s="11" t="s">
        <v>1647</v>
      </c>
      <c r="B140" s="273">
        <f t="shared" si="0"/>
        <v>34</v>
      </c>
    </row>
    <row r="141" spans="1:2" ht="15">
      <c r="A141" s="11" t="s">
        <v>1644</v>
      </c>
      <c r="B141" s="273">
        <f t="shared" si="0"/>
        <v>35</v>
      </c>
    </row>
    <row r="142" spans="1:2" ht="15">
      <c r="A142" s="11" t="s">
        <v>1641</v>
      </c>
      <c r="B142" s="273">
        <f t="shared" si="0"/>
        <v>36</v>
      </c>
    </row>
    <row r="143" spans="1:2" ht="15">
      <c r="A143" s="17" t="s">
        <v>1649</v>
      </c>
      <c r="B143" s="273">
        <f t="shared" si="0"/>
        <v>37</v>
      </c>
    </row>
    <row r="144" spans="1:2" ht="15">
      <c r="A144" s="11" t="s">
        <v>1646</v>
      </c>
      <c r="B144" s="273">
        <f t="shared" si="0"/>
        <v>38</v>
      </c>
    </row>
    <row r="145" spans="1:2" ht="15">
      <c r="A145" s="11" t="s">
        <v>1643</v>
      </c>
      <c r="B145" s="273">
        <f t="shared" si="0"/>
        <v>39</v>
      </c>
    </row>
    <row r="146" spans="1:2" ht="15">
      <c r="A146" s="11" t="s">
        <v>1640</v>
      </c>
      <c r="B146" s="273">
        <f t="shared" si="0"/>
        <v>40</v>
      </c>
    </row>
    <row r="147" spans="1:2" ht="15">
      <c r="A147" s="17" t="s">
        <v>169</v>
      </c>
      <c r="B147" s="273">
        <f t="shared" si="0"/>
        <v>41</v>
      </c>
    </row>
    <row r="148" spans="1:2" ht="15">
      <c r="A148" s="11" t="s">
        <v>98</v>
      </c>
      <c r="B148" s="273">
        <f t="shared" si="0"/>
        <v>42</v>
      </c>
    </row>
    <row r="149" spans="1:2" ht="15">
      <c r="A149" s="11" t="s">
        <v>170</v>
      </c>
      <c r="B149" s="273">
        <f t="shared" si="0"/>
        <v>43</v>
      </c>
    </row>
    <row r="150" spans="1:2" ht="15">
      <c r="A150" s="11" t="s">
        <v>171</v>
      </c>
      <c r="B150" s="273">
        <f t="shared" si="0"/>
        <v>44</v>
      </c>
    </row>
    <row r="151" spans="1:2" ht="15">
      <c r="A151" s="17" t="s">
        <v>172</v>
      </c>
      <c r="B151" s="273">
        <f t="shared" si="0"/>
        <v>45</v>
      </c>
    </row>
    <row r="152" spans="1:2" ht="15">
      <c r="A152" s="11" t="s">
        <v>99</v>
      </c>
      <c r="B152" s="273">
        <f t="shared" si="0"/>
        <v>46</v>
      </c>
    </row>
    <row r="153" spans="1:2" ht="15">
      <c r="A153" s="11" t="s">
        <v>173</v>
      </c>
      <c r="B153" s="273">
        <f t="shared" si="0"/>
        <v>47</v>
      </c>
    </row>
    <row r="154" spans="1:2" ht="15">
      <c r="A154" s="17" t="s">
        <v>174</v>
      </c>
      <c r="B154" s="273">
        <f t="shared" si="0"/>
        <v>48</v>
      </c>
    </row>
    <row r="155" spans="1:2" ht="15">
      <c r="A155" s="11" t="s">
        <v>111</v>
      </c>
      <c r="B155" s="273">
        <f t="shared" si="0"/>
        <v>49</v>
      </c>
    </row>
    <row r="156" spans="1:2" ht="15">
      <c r="A156" s="11" t="s">
        <v>175</v>
      </c>
      <c r="B156" s="273">
        <f t="shared" si="0"/>
        <v>50</v>
      </c>
    </row>
    <row r="157" spans="1:2" ht="15">
      <c r="A157" s="17" t="s">
        <v>176</v>
      </c>
      <c r="B157" s="273">
        <f t="shared" si="0"/>
        <v>51</v>
      </c>
    </row>
    <row r="158" spans="1:2" ht="15">
      <c r="A158" s="11" t="s">
        <v>131</v>
      </c>
      <c r="B158" s="273">
        <f t="shared" si="0"/>
        <v>52</v>
      </c>
    </row>
    <row r="159" spans="1:2" ht="15">
      <c r="A159" s="11" t="s">
        <v>177</v>
      </c>
      <c r="B159" s="273">
        <f t="shared" si="0"/>
        <v>53</v>
      </c>
    </row>
    <row r="160" spans="1:2" ht="15">
      <c r="A160" s="11" t="s">
        <v>178</v>
      </c>
      <c r="B160" s="273">
        <f t="shared" si="0"/>
        <v>54</v>
      </c>
    </row>
    <row r="161" spans="1:2" ht="15">
      <c r="A161" s="17" t="s">
        <v>179</v>
      </c>
      <c r="B161" s="273">
        <f t="shared" si="0"/>
        <v>55</v>
      </c>
    </row>
    <row r="162" spans="1:2" ht="15">
      <c r="A162" s="11" t="s">
        <v>132</v>
      </c>
      <c r="B162" s="273">
        <f t="shared" si="0"/>
        <v>56</v>
      </c>
    </row>
    <row r="163" spans="1:2" ht="15">
      <c r="A163" s="11" t="s">
        <v>180</v>
      </c>
      <c r="B163" s="273">
        <f t="shared" si="0"/>
        <v>57</v>
      </c>
    </row>
    <row r="164" spans="1:2" ht="15">
      <c r="A164" s="11" t="s">
        <v>181</v>
      </c>
      <c r="B164" s="273">
        <f t="shared" si="0"/>
        <v>58</v>
      </c>
    </row>
    <row r="165" spans="1:2" ht="15">
      <c r="A165" s="17" t="s">
        <v>182</v>
      </c>
      <c r="B165" s="273">
        <f t="shared" si="0"/>
        <v>59</v>
      </c>
    </row>
    <row r="166" spans="1:2" ht="15">
      <c r="A166" s="11" t="s">
        <v>133</v>
      </c>
      <c r="B166" s="273">
        <f t="shared" si="0"/>
        <v>60</v>
      </c>
    </row>
    <row r="167" spans="1:2" ht="15">
      <c r="A167" s="11" t="s">
        <v>183</v>
      </c>
      <c r="B167" s="273">
        <f t="shared" si="0"/>
        <v>61</v>
      </c>
    </row>
    <row r="168" spans="1:2" ht="15">
      <c r="A168" s="11" t="s">
        <v>184</v>
      </c>
      <c r="B168" s="273">
        <f t="shared" si="0"/>
        <v>62</v>
      </c>
    </row>
    <row r="169" spans="1:2" ht="15">
      <c r="A169" s="17" t="s">
        <v>185</v>
      </c>
      <c r="B169" s="273">
        <f t="shared" si="0"/>
        <v>63</v>
      </c>
    </row>
    <row r="170" spans="1:2" ht="15">
      <c r="A170" s="11" t="s">
        <v>134</v>
      </c>
      <c r="B170" s="273">
        <f t="shared" si="0"/>
        <v>64</v>
      </c>
    </row>
    <row r="171" spans="1:2" ht="15">
      <c r="A171" s="11" t="s">
        <v>186</v>
      </c>
      <c r="B171" s="273">
        <f t="shared" si="0"/>
        <v>65</v>
      </c>
    </row>
    <row r="172" spans="1:2" ht="15">
      <c r="A172" s="11" t="s">
        <v>187</v>
      </c>
      <c r="B172" s="273">
        <f t="shared" si="0"/>
        <v>66</v>
      </c>
    </row>
    <row r="173" spans="1:2" ht="15">
      <c r="A173" s="17" t="s">
        <v>188</v>
      </c>
      <c r="B173" s="273">
        <f t="shared" ref="B173:B203" si="1">B172+1</f>
        <v>67</v>
      </c>
    </row>
    <row r="174" spans="1:2" ht="15">
      <c r="A174" s="11" t="s">
        <v>135</v>
      </c>
      <c r="B174" s="273">
        <f t="shared" si="1"/>
        <v>68</v>
      </c>
    </row>
    <row r="175" spans="1:2" ht="15">
      <c r="A175" s="11" t="s">
        <v>189</v>
      </c>
      <c r="B175" s="273">
        <f t="shared" si="1"/>
        <v>69</v>
      </c>
    </row>
    <row r="176" spans="1:2" ht="15">
      <c r="A176" s="11" t="s">
        <v>190</v>
      </c>
      <c r="B176" s="273">
        <f t="shared" si="1"/>
        <v>70</v>
      </c>
    </row>
    <row r="177" spans="1:2" ht="15">
      <c r="A177" s="17" t="s">
        <v>1648</v>
      </c>
      <c r="B177" s="273">
        <f t="shared" si="1"/>
        <v>71</v>
      </c>
    </row>
    <row r="178" spans="1:2" ht="15">
      <c r="A178" s="11" t="s">
        <v>1645</v>
      </c>
      <c r="B178" s="273">
        <f t="shared" si="1"/>
        <v>72</v>
      </c>
    </row>
    <row r="179" spans="1:2" ht="15">
      <c r="A179" s="11" t="s">
        <v>1642</v>
      </c>
      <c r="B179" s="273">
        <f t="shared" si="1"/>
        <v>73</v>
      </c>
    </row>
    <row r="180" spans="1:2" ht="15">
      <c r="A180" s="11" t="s">
        <v>1639</v>
      </c>
      <c r="B180" s="273">
        <f t="shared" si="1"/>
        <v>74</v>
      </c>
    </row>
    <row r="181" spans="1:2" ht="15">
      <c r="A181" s="17" t="s">
        <v>191</v>
      </c>
      <c r="B181" s="273">
        <f t="shared" si="1"/>
        <v>75</v>
      </c>
    </row>
    <row r="182" spans="1:2" ht="15">
      <c r="A182" s="11" t="s">
        <v>100</v>
      </c>
      <c r="B182" s="273">
        <f t="shared" si="1"/>
        <v>76</v>
      </c>
    </row>
    <row r="183" spans="1:2" ht="15">
      <c r="A183" s="11" t="s">
        <v>192</v>
      </c>
      <c r="B183" s="273">
        <f t="shared" si="1"/>
        <v>77</v>
      </c>
    </row>
    <row r="184" spans="1:2" ht="15">
      <c r="A184" s="17" t="s">
        <v>193</v>
      </c>
      <c r="B184" s="273">
        <f t="shared" si="1"/>
        <v>78</v>
      </c>
    </row>
    <row r="185" spans="1:2" ht="15">
      <c r="A185" s="11" t="s">
        <v>101</v>
      </c>
      <c r="B185" s="273">
        <f t="shared" si="1"/>
        <v>79</v>
      </c>
    </row>
    <row r="186" spans="1:2" ht="15">
      <c r="A186" s="11" t="s">
        <v>194</v>
      </c>
      <c r="B186" s="273">
        <f t="shared" si="1"/>
        <v>80</v>
      </c>
    </row>
    <row r="187" spans="1:2" ht="15">
      <c r="A187" s="11" t="s">
        <v>195</v>
      </c>
      <c r="B187" s="273">
        <f t="shared" si="1"/>
        <v>81</v>
      </c>
    </row>
    <row r="188" spans="1:2" ht="15">
      <c r="A188" s="17" t="s">
        <v>196</v>
      </c>
      <c r="B188" s="273">
        <f t="shared" si="1"/>
        <v>82</v>
      </c>
    </row>
    <row r="189" spans="1:2" ht="15">
      <c r="A189" s="11" t="s">
        <v>102</v>
      </c>
      <c r="B189" s="273">
        <f t="shared" si="1"/>
        <v>83</v>
      </c>
    </row>
    <row r="190" spans="1:2" ht="15">
      <c r="A190" s="11" t="s">
        <v>197</v>
      </c>
      <c r="B190" s="273">
        <f t="shared" si="1"/>
        <v>84</v>
      </c>
    </row>
    <row r="191" spans="1:2" ht="15">
      <c r="A191" s="11" t="s">
        <v>198</v>
      </c>
      <c r="B191" s="273">
        <f t="shared" si="1"/>
        <v>85</v>
      </c>
    </row>
    <row r="192" spans="1:2" ht="15">
      <c r="A192" s="17" t="s">
        <v>199</v>
      </c>
      <c r="B192" s="273">
        <f t="shared" si="1"/>
        <v>86</v>
      </c>
    </row>
    <row r="193" spans="1:2" ht="15">
      <c r="A193" s="11" t="s">
        <v>103</v>
      </c>
      <c r="B193" s="273">
        <f t="shared" si="1"/>
        <v>87</v>
      </c>
    </row>
    <row r="194" spans="1:2" ht="15">
      <c r="A194" s="11" t="s">
        <v>200</v>
      </c>
      <c r="B194" s="273">
        <f t="shared" si="1"/>
        <v>88</v>
      </c>
    </row>
    <row r="195" spans="1:2" ht="15">
      <c r="A195" s="17" t="s">
        <v>201</v>
      </c>
      <c r="B195" s="273">
        <f t="shared" si="1"/>
        <v>89</v>
      </c>
    </row>
    <row r="196" spans="1:2" ht="15">
      <c r="A196" s="11" t="s">
        <v>104</v>
      </c>
      <c r="B196" s="273">
        <f t="shared" si="1"/>
        <v>90</v>
      </c>
    </row>
    <row r="197" spans="1:2" ht="15">
      <c r="A197" s="11" t="s">
        <v>202</v>
      </c>
      <c r="B197" s="273">
        <f t="shared" si="1"/>
        <v>91</v>
      </c>
    </row>
    <row r="198" spans="1:2" ht="15">
      <c r="A198" s="17" t="s">
        <v>203</v>
      </c>
      <c r="B198" s="273">
        <f t="shared" si="1"/>
        <v>92</v>
      </c>
    </row>
    <row r="199" spans="1:2" ht="15">
      <c r="A199" s="11" t="s">
        <v>112</v>
      </c>
      <c r="B199" s="273">
        <f t="shared" si="1"/>
        <v>93</v>
      </c>
    </row>
    <row r="200" spans="1:2" ht="15">
      <c r="A200" s="11" t="s">
        <v>204</v>
      </c>
      <c r="B200" s="273">
        <f t="shared" si="1"/>
        <v>94</v>
      </c>
    </row>
    <row r="201" spans="1:2" ht="15">
      <c r="A201" s="17" t="s">
        <v>205</v>
      </c>
      <c r="B201" s="273">
        <f t="shared" si="1"/>
        <v>95</v>
      </c>
    </row>
    <row r="202" spans="1:2" ht="15">
      <c r="A202" s="11" t="s">
        <v>113</v>
      </c>
      <c r="B202" s="273">
        <f t="shared" si="1"/>
        <v>96</v>
      </c>
    </row>
    <row r="203" spans="1:2" ht="15">
      <c r="A203" s="11" t="s">
        <v>206</v>
      </c>
      <c r="B203" s="273">
        <f t="shared" si="1"/>
        <v>97</v>
      </c>
    </row>
    <row r="205" spans="1:2" ht="15.75">
      <c r="A205" s="168" t="s">
        <v>207</v>
      </c>
    </row>
    <row r="206" spans="1:2" ht="14.25">
      <c r="A206" s="231" t="s">
        <v>262</v>
      </c>
    </row>
    <row r="207" spans="1:2">
      <c r="A207" s="43" t="s">
        <v>137</v>
      </c>
    </row>
    <row r="208" spans="1:2" ht="25.5">
      <c r="B208" s="230" t="s">
        <v>208</v>
      </c>
    </row>
    <row r="209" spans="1:10" ht="14.25">
      <c r="A209" s="190" t="s">
        <v>209</v>
      </c>
      <c r="B209" s="273">
        <f>'CDCM Forecast Data'!A111</f>
        <v>98</v>
      </c>
      <c r="C209" s="229" t="s">
        <v>262</v>
      </c>
    </row>
    <row r="211" spans="1:10" ht="15.75">
      <c r="A211" s="168" t="s">
        <v>210</v>
      </c>
    </row>
    <row r="212" spans="1:10" ht="14.25">
      <c r="A212" s="231" t="s">
        <v>262</v>
      </c>
    </row>
    <row r="213" spans="1:10" ht="25.5">
      <c r="B213" s="230" t="s">
        <v>211</v>
      </c>
      <c r="C213" s="230" t="s">
        <v>212</v>
      </c>
      <c r="D213" s="230" t="s">
        <v>213</v>
      </c>
      <c r="E213" s="230" t="s">
        <v>214</v>
      </c>
    </row>
    <row r="214" spans="1:10" ht="14.25">
      <c r="A214" s="190" t="s">
        <v>215</v>
      </c>
      <c r="B214" s="273">
        <f>'CDCM Forecast Data'!A113</f>
        <v>100</v>
      </c>
      <c r="C214" s="273">
        <f>'CDCM Forecast Data'!A114</f>
        <v>101</v>
      </c>
      <c r="D214" s="273">
        <f>'CDCM Forecast Data'!A115</f>
        <v>102</v>
      </c>
      <c r="E214" s="273">
        <f>'CDCM Forecast Data'!A116</f>
        <v>103</v>
      </c>
      <c r="F214" s="229" t="s">
        <v>262</v>
      </c>
    </row>
    <row r="216" spans="1:10" ht="15.75">
      <c r="A216" s="168" t="s">
        <v>216</v>
      </c>
    </row>
    <row r="217" spans="1:10" ht="14.25">
      <c r="A217" s="194"/>
    </row>
    <row r="218" spans="1:10">
      <c r="A218" s="43" t="s">
        <v>217</v>
      </c>
    </row>
    <row r="219" spans="1:10">
      <c r="A219" s="43" t="s">
        <v>218</v>
      </c>
    </row>
    <row r="220" spans="1:10">
      <c r="A220" s="43" t="s">
        <v>219</v>
      </c>
    </row>
    <row r="221" spans="1:10" ht="25.5">
      <c r="B221" s="230" t="s">
        <v>220</v>
      </c>
      <c r="C221" s="230" t="s">
        <v>221</v>
      </c>
      <c r="D221" s="230" t="s">
        <v>222</v>
      </c>
      <c r="E221" s="230" t="s">
        <v>223</v>
      </c>
      <c r="F221" s="230" t="s">
        <v>224</v>
      </c>
      <c r="G221" s="230" t="s">
        <v>225</v>
      </c>
      <c r="H221" s="230" t="s">
        <v>226</v>
      </c>
      <c r="I221" s="230" t="s">
        <v>227</v>
      </c>
    </row>
    <row r="222" spans="1:10" ht="14.25">
      <c r="A222" s="190" t="s">
        <v>228</v>
      </c>
      <c r="B222" s="273">
        <f>'CDCM Forecast Data'!A119</f>
        <v>106</v>
      </c>
      <c r="C222" s="273">
        <f>'CDCM Forecast Data'!A120</f>
        <v>107</v>
      </c>
      <c r="D222" s="273">
        <f>'CDCM Forecast Data'!A121</f>
        <v>108</v>
      </c>
      <c r="E222" s="273">
        <f>'CDCM Forecast Data'!A122</f>
        <v>109</v>
      </c>
      <c r="F222" s="273">
        <f>'CDCM Forecast Data'!A123</f>
        <v>110</v>
      </c>
      <c r="G222" s="273">
        <f>'CDCM Forecast Data'!A124</f>
        <v>111</v>
      </c>
      <c r="H222" s="273">
        <f>'CDCM Forecast Data'!A125</f>
        <v>112</v>
      </c>
      <c r="I222" s="273">
        <f>'CDCM Forecast Data'!A126</f>
        <v>113</v>
      </c>
      <c r="J222" s="229" t="s">
        <v>262</v>
      </c>
    </row>
    <row r="223" spans="1:10" ht="14.25">
      <c r="A223" s="190" t="s">
        <v>229</v>
      </c>
      <c r="B223" s="273">
        <f>'CDCM Forecast Data'!A128</f>
        <v>115</v>
      </c>
      <c r="C223" s="273">
        <f>'CDCM Forecast Data'!A129</f>
        <v>116</v>
      </c>
      <c r="D223" s="273">
        <f>'CDCM Forecast Data'!A130</f>
        <v>117</v>
      </c>
      <c r="E223" s="273">
        <f>'CDCM Forecast Data'!A131</f>
        <v>118</v>
      </c>
      <c r="F223" s="273">
        <f>'CDCM Forecast Data'!A132</f>
        <v>119</v>
      </c>
      <c r="G223" s="273">
        <f>'CDCM Forecast Data'!A133</f>
        <v>120</v>
      </c>
      <c r="H223" s="273">
        <f>'CDCM Forecast Data'!A134</f>
        <v>121</v>
      </c>
      <c r="I223" s="273"/>
      <c r="J223" s="229" t="s">
        <v>262</v>
      </c>
    </row>
    <row r="224" spans="1:10" ht="14.25">
      <c r="A224" s="190" t="s">
        <v>230</v>
      </c>
      <c r="B224" s="273">
        <f>'CDCM Forecast Data'!A136</f>
        <v>123</v>
      </c>
      <c r="C224" s="273">
        <f>'CDCM Forecast Data'!A137</f>
        <v>124</v>
      </c>
      <c r="D224" s="273">
        <f>'CDCM Forecast Data'!A138</f>
        <v>125</v>
      </c>
      <c r="E224" s="273">
        <f>'CDCM Forecast Data'!A139</f>
        <v>126</v>
      </c>
      <c r="F224" s="273">
        <f>'CDCM Forecast Data'!A140</f>
        <v>127</v>
      </c>
      <c r="G224" s="273">
        <f>'CDCM Forecast Data'!A141</f>
        <v>128</v>
      </c>
      <c r="H224" s="273"/>
      <c r="I224" s="273"/>
      <c r="J224" s="229" t="s">
        <v>262</v>
      </c>
    </row>
    <row r="225" spans="1:10" ht="14.25">
      <c r="A225" s="190" t="s">
        <v>231</v>
      </c>
      <c r="B225" s="273">
        <f>'CDCM Forecast Data'!A143</f>
        <v>130</v>
      </c>
      <c r="C225" s="273">
        <f>'CDCM Forecast Data'!A144</f>
        <v>131</v>
      </c>
      <c r="D225" s="273">
        <f>'CDCM Forecast Data'!A145</f>
        <v>132</v>
      </c>
      <c r="E225" s="273">
        <f>'CDCM Forecast Data'!A146</f>
        <v>133</v>
      </c>
      <c r="F225" s="273"/>
      <c r="G225" s="273"/>
      <c r="H225" s="273"/>
      <c r="I225" s="273"/>
      <c r="J225" s="229" t="s">
        <v>262</v>
      </c>
    </row>
    <row r="227" spans="1:10" ht="15.75">
      <c r="A227" s="168" t="s">
        <v>232</v>
      </c>
    </row>
    <row r="228" spans="1:10" ht="14.25">
      <c r="A228" s="194"/>
    </row>
    <row r="229" spans="1:10">
      <c r="A229" s="43" t="s">
        <v>126</v>
      </c>
    </row>
    <row r="230" spans="1:10">
      <c r="A230" s="43" t="s">
        <v>1551</v>
      </c>
    </row>
    <row r="231" spans="1:10">
      <c r="A231" s="43" t="s">
        <v>1550</v>
      </c>
    </row>
    <row r="232" spans="1:10">
      <c r="A232" s="43" t="s">
        <v>1549</v>
      </c>
    </row>
    <row r="233" spans="1:10">
      <c r="A233" s="43" t="s">
        <v>1548</v>
      </c>
    </row>
    <row r="234" spans="1:10">
      <c r="B234" s="230" t="s">
        <v>233</v>
      </c>
      <c r="C234" s="230" t="s">
        <v>234</v>
      </c>
      <c r="D234" s="230" t="s">
        <v>235</v>
      </c>
    </row>
    <row r="235" spans="1:10" ht="14.25">
      <c r="A235" s="190" t="s">
        <v>92</v>
      </c>
      <c r="B235" s="273">
        <f>'CDCM Forecast Data'!A149</f>
        <v>136</v>
      </c>
      <c r="C235" s="273">
        <f>'CDCM Forecast Data'!A159</f>
        <v>146</v>
      </c>
      <c r="D235" s="277">
        <f>'CDCM Forecast Data'!A169</f>
        <v>156</v>
      </c>
      <c r="E235" s="229" t="s">
        <v>262</v>
      </c>
    </row>
    <row r="236" spans="1:10" ht="14.25">
      <c r="A236" s="190" t="s">
        <v>93</v>
      </c>
      <c r="B236" s="273">
        <f>'CDCM Forecast Data'!A150</f>
        <v>137</v>
      </c>
      <c r="C236" s="273">
        <f>'CDCM Forecast Data'!A160</f>
        <v>147</v>
      </c>
      <c r="D236" s="277">
        <f>'CDCM Forecast Data'!A170</f>
        <v>157</v>
      </c>
      <c r="E236" s="229" t="s">
        <v>262</v>
      </c>
    </row>
    <row r="237" spans="1:10" ht="14.25">
      <c r="A237" s="190" t="s">
        <v>129</v>
      </c>
      <c r="B237" s="273">
        <f>'CDCM Forecast Data'!A151</f>
        <v>138</v>
      </c>
      <c r="C237" s="273">
        <f>'CDCM Forecast Data'!A161</f>
        <v>148</v>
      </c>
      <c r="D237" s="277">
        <f>'CDCM Forecast Data'!A171</f>
        <v>158</v>
      </c>
      <c r="E237" s="229"/>
    </row>
    <row r="238" spans="1:10" ht="14.25">
      <c r="A238" s="190" t="s">
        <v>94</v>
      </c>
      <c r="B238" s="273">
        <f>'CDCM Forecast Data'!A152</f>
        <v>139</v>
      </c>
      <c r="C238" s="273">
        <f>'CDCM Forecast Data'!A162</f>
        <v>149</v>
      </c>
      <c r="D238" s="277">
        <f>'CDCM Forecast Data'!A172</f>
        <v>159</v>
      </c>
      <c r="E238" s="229"/>
    </row>
    <row r="239" spans="1:10" ht="14.25">
      <c r="A239" s="190" t="s">
        <v>95</v>
      </c>
      <c r="B239" s="273">
        <f>'CDCM Forecast Data'!A153</f>
        <v>140</v>
      </c>
      <c r="C239" s="273">
        <f>'CDCM Forecast Data'!A163</f>
        <v>150</v>
      </c>
      <c r="D239" s="277">
        <f>'CDCM Forecast Data'!A173</f>
        <v>160</v>
      </c>
      <c r="E239" s="229" t="s">
        <v>262</v>
      </c>
    </row>
    <row r="240" spans="1:10" ht="14.25">
      <c r="A240" s="190" t="s">
        <v>130</v>
      </c>
      <c r="B240" s="273">
        <f>'CDCM Forecast Data'!A154</f>
        <v>141</v>
      </c>
      <c r="C240" s="273">
        <f>'CDCM Forecast Data'!A164</f>
        <v>151</v>
      </c>
      <c r="D240" s="277">
        <f>'CDCM Forecast Data'!A174</f>
        <v>161</v>
      </c>
      <c r="E240" s="229" t="s">
        <v>262</v>
      </c>
    </row>
    <row r="241" spans="1:5" ht="14.25">
      <c r="A241" s="190" t="s">
        <v>96</v>
      </c>
      <c r="B241" s="273">
        <f>'CDCM Forecast Data'!A155</f>
        <v>142</v>
      </c>
      <c r="C241" s="273">
        <f>'CDCM Forecast Data'!A165</f>
        <v>152</v>
      </c>
      <c r="D241" s="277">
        <f>'CDCM Forecast Data'!A175</f>
        <v>162</v>
      </c>
      <c r="E241" s="229" t="s">
        <v>262</v>
      </c>
    </row>
    <row r="242" spans="1:5" ht="14.25">
      <c r="A242" s="190" t="s">
        <v>97</v>
      </c>
      <c r="B242" s="273">
        <f>'CDCM Forecast Data'!A156</f>
        <v>143</v>
      </c>
      <c r="C242" s="273">
        <f>'CDCM Forecast Data'!A166</f>
        <v>153</v>
      </c>
      <c r="D242" s="277">
        <f>'CDCM Forecast Data'!A176</f>
        <v>163</v>
      </c>
      <c r="E242" s="229" t="s">
        <v>262</v>
      </c>
    </row>
    <row r="243" spans="1:5" ht="14.25">
      <c r="A243" s="190" t="s">
        <v>110</v>
      </c>
      <c r="B243" s="273">
        <f>'CDCM Forecast Data'!A157</f>
        <v>144</v>
      </c>
      <c r="C243" s="273">
        <f>'CDCM Forecast Data'!A167</f>
        <v>154</v>
      </c>
      <c r="D243" s="277">
        <f>'CDCM Forecast Data'!A177</f>
        <v>164</v>
      </c>
      <c r="E243" s="229" t="s">
        <v>262</v>
      </c>
    </row>
    <row r="245" spans="1:5" ht="15.75">
      <c r="A245" s="168" t="s">
        <v>236</v>
      </c>
    </row>
    <row r="246" spans="1:5" ht="14.25">
      <c r="A246" s="194"/>
    </row>
    <row r="247" spans="1:5">
      <c r="A247" s="43" t="s">
        <v>126</v>
      </c>
    </row>
    <row r="248" spans="1:5">
      <c r="A248" s="43" t="s">
        <v>1547</v>
      </c>
    </row>
    <row r="249" spans="1:5">
      <c r="A249" s="43" t="s">
        <v>1546</v>
      </c>
    </row>
    <row r="250" spans="1:5">
      <c r="B250" s="230" t="s">
        <v>233</v>
      </c>
      <c r="C250" s="230" t="s">
        <v>234</v>
      </c>
      <c r="D250" s="230" t="s">
        <v>235</v>
      </c>
    </row>
    <row r="251" spans="1:5" ht="14.25">
      <c r="A251" s="190" t="s">
        <v>93</v>
      </c>
      <c r="B251" s="273">
        <f>'CDCM Forecast Data'!A180</f>
        <v>167</v>
      </c>
      <c r="C251" s="277">
        <f>'CDCM Forecast Data'!A186</f>
        <v>173</v>
      </c>
      <c r="D251" s="273">
        <f>'CDCM Forecast Data'!A192</f>
        <v>179</v>
      </c>
      <c r="E251" s="237" t="s">
        <v>262</v>
      </c>
    </row>
    <row r="252" spans="1:5" ht="14.25">
      <c r="A252" s="190" t="s">
        <v>95</v>
      </c>
      <c r="B252" s="273">
        <f>'CDCM Forecast Data'!A181</f>
        <v>168</v>
      </c>
      <c r="C252" s="277">
        <f>'CDCM Forecast Data'!A187</f>
        <v>174</v>
      </c>
      <c r="D252" s="273">
        <f>'CDCM Forecast Data'!A193</f>
        <v>180</v>
      </c>
      <c r="E252" s="237" t="s">
        <v>262</v>
      </c>
    </row>
    <row r="253" spans="1:5" ht="14.25">
      <c r="A253" s="190" t="s">
        <v>96</v>
      </c>
      <c r="B253" s="273">
        <f>'CDCM Forecast Data'!A182</f>
        <v>169</v>
      </c>
      <c r="C253" s="277">
        <f>'CDCM Forecast Data'!A188</f>
        <v>175</v>
      </c>
      <c r="D253" s="273">
        <f>'CDCM Forecast Data'!A194</f>
        <v>181</v>
      </c>
      <c r="E253" s="237" t="s">
        <v>262</v>
      </c>
    </row>
    <row r="254" spans="1:5" ht="14.25">
      <c r="A254" s="190" t="s">
        <v>97</v>
      </c>
      <c r="B254" s="273">
        <f>'CDCM Forecast Data'!A183</f>
        <v>170</v>
      </c>
      <c r="C254" s="277">
        <f>'CDCM Forecast Data'!A189</f>
        <v>176</v>
      </c>
      <c r="D254" s="273">
        <f>'CDCM Forecast Data'!A195</f>
        <v>182</v>
      </c>
      <c r="E254" s="237" t="s">
        <v>262</v>
      </c>
    </row>
    <row r="255" spans="1:5" ht="14.25">
      <c r="A255" s="190" t="s">
        <v>110</v>
      </c>
      <c r="B255" s="273">
        <f>'CDCM Forecast Data'!A184</f>
        <v>171</v>
      </c>
      <c r="C255" s="277">
        <f>'CDCM Forecast Data'!A190</f>
        <v>177</v>
      </c>
      <c r="D255" s="273">
        <f>'CDCM Forecast Data'!A196</f>
        <v>183</v>
      </c>
      <c r="E255" s="237" t="s">
        <v>262</v>
      </c>
    </row>
    <row r="257" spans="1:5" ht="16.5">
      <c r="A257" s="234" t="s">
        <v>237</v>
      </c>
    </row>
    <row r="259" spans="1:5">
      <c r="B259" s="230" t="s">
        <v>238</v>
      </c>
      <c r="C259" s="230" t="s">
        <v>239</v>
      </c>
      <c r="D259" s="230" t="s">
        <v>235</v>
      </c>
      <c r="E259" s="43" t="s">
        <v>262</v>
      </c>
    </row>
    <row r="260" spans="1:5">
      <c r="A260" s="190" t="s">
        <v>131</v>
      </c>
      <c r="B260" s="273">
        <f>'CDCM Forecast Data'!A199</f>
        <v>186</v>
      </c>
      <c r="C260" s="273">
        <f>'CDCM Forecast Data'!A204</f>
        <v>191</v>
      </c>
      <c r="D260" s="277">
        <f>'CDCM Forecast Data'!A209</f>
        <v>196</v>
      </c>
      <c r="E260" s="233" t="s">
        <v>262</v>
      </c>
    </row>
    <row r="261" spans="1:5">
      <c r="A261" s="190" t="s">
        <v>132</v>
      </c>
      <c r="B261" s="273">
        <f>'CDCM Forecast Data'!A200</f>
        <v>187</v>
      </c>
      <c r="C261" s="273">
        <f>'CDCM Forecast Data'!A205</f>
        <v>192</v>
      </c>
      <c r="D261" s="277">
        <f>'CDCM Forecast Data'!A210</f>
        <v>197</v>
      </c>
      <c r="E261" s="233" t="s">
        <v>262</v>
      </c>
    </row>
    <row r="262" spans="1:5">
      <c r="A262" s="190" t="s">
        <v>133</v>
      </c>
      <c r="B262" s="273">
        <f>'CDCM Forecast Data'!A201</f>
        <v>188</v>
      </c>
      <c r="C262" s="273">
        <f>'CDCM Forecast Data'!A206</f>
        <v>193</v>
      </c>
      <c r="D262" s="277">
        <f>'CDCM Forecast Data'!A211</f>
        <v>198</v>
      </c>
      <c r="E262" s="233" t="s">
        <v>262</v>
      </c>
    </row>
    <row r="263" spans="1:5">
      <c r="A263" s="190" t="s">
        <v>134</v>
      </c>
      <c r="B263" s="273">
        <f>'CDCM Forecast Data'!A202</f>
        <v>189</v>
      </c>
      <c r="C263" s="273">
        <f>'CDCM Forecast Data'!A207</f>
        <v>194</v>
      </c>
      <c r="D263" s="277">
        <f>'CDCM Forecast Data'!A212</f>
        <v>199</v>
      </c>
      <c r="E263" s="233" t="s">
        <v>262</v>
      </c>
    </row>
    <row r="265" spans="1:5" ht="16.5">
      <c r="A265" s="234" t="s">
        <v>240</v>
      </c>
    </row>
    <row r="266" spans="1:5">
      <c r="A266" s="232" t="s">
        <v>241</v>
      </c>
    </row>
    <row r="267" spans="1:5">
      <c r="A267" s="232" t="s">
        <v>242</v>
      </c>
    </row>
    <row r="269" spans="1:5">
      <c r="B269" s="230" t="s">
        <v>238</v>
      </c>
      <c r="C269" s="230" t="s">
        <v>239</v>
      </c>
      <c r="D269" s="230" t="s">
        <v>235</v>
      </c>
    </row>
    <row r="270" spans="1:5">
      <c r="A270" s="190" t="s">
        <v>243</v>
      </c>
      <c r="B270" s="277">
        <f>'CDCM Forecast Data'!A214</f>
        <v>201</v>
      </c>
      <c r="C270" s="273">
        <f>'CDCM Forecast Data'!A215</f>
        <v>202</v>
      </c>
      <c r="D270" s="273">
        <f>'CDCM Forecast Data'!A216</f>
        <v>203</v>
      </c>
      <c r="E270" s="233" t="s">
        <v>262</v>
      </c>
    </row>
    <row r="272" spans="1:5" ht="15.75">
      <c r="A272" s="168" t="s">
        <v>244</v>
      </c>
    </row>
    <row r="273" spans="1:6" ht="14.25">
      <c r="A273" s="194"/>
    </row>
    <row r="274" spans="1:6">
      <c r="A274" s="43" t="s">
        <v>241</v>
      </c>
    </row>
    <row r="275" spans="1:6">
      <c r="A275" s="43" t="s">
        <v>242</v>
      </c>
    </row>
    <row r="276" spans="1:6">
      <c r="B276" s="230" t="s">
        <v>233</v>
      </c>
      <c r="C276" s="230" t="s">
        <v>234</v>
      </c>
      <c r="D276" s="230" t="s">
        <v>235</v>
      </c>
    </row>
    <row r="277" spans="1:6" ht="14.25">
      <c r="A277" s="190" t="s">
        <v>243</v>
      </c>
      <c r="B277" s="273">
        <f>'CDCM Forecast Data'!A218</f>
        <v>205</v>
      </c>
      <c r="C277" s="273">
        <f>'CDCM Forecast Data'!A219</f>
        <v>206</v>
      </c>
      <c r="D277" s="273">
        <f>'CDCM Forecast Data'!A220</f>
        <v>207</v>
      </c>
      <c r="E277" s="229" t="s">
        <v>262</v>
      </c>
    </row>
    <row r="279" spans="1:6" ht="15.75">
      <c r="A279" s="168" t="s">
        <v>245</v>
      </c>
    </row>
    <row r="280" spans="1:6" ht="14.25">
      <c r="A280" s="194"/>
    </row>
    <row r="281" spans="1:6">
      <c r="A281" s="43" t="s">
        <v>1545</v>
      </c>
    </row>
    <row r="282" spans="1:6">
      <c r="B282" s="230" t="s">
        <v>233</v>
      </c>
      <c r="C282" s="230" t="s">
        <v>234</v>
      </c>
      <c r="D282" s="230" t="s">
        <v>235</v>
      </c>
      <c r="E282" s="230" t="s">
        <v>238</v>
      </c>
    </row>
    <row r="283" spans="1:6" ht="14.25">
      <c r="A283" s="190" t="s">
        <v>60</v>
      </c>
      <c r="B283" s="273">
        <f>'CDCM Forecast Data'!A223</f>
        <v>210</v>
      </c>
      <c r="C283" s="273">
        <f>'CDCM Forecast Data'!A233</f>
        <v>220</v>
      </c>
      <c r="D283" s="273">
        <f>'CDCM Forecast Data'!A243</f>
        <v>230</v>
      </c>
      <c r="E283" s="273">
        <f>'CDCM Forecast Data'!A253</f>
        <v>240</v>
      </c>
      <c r="F283" s="229" t="s">
        <v>262</v>
      </c>
    </row>
    <row r="284" spans="1:6" ht="14.25">
      <c r="A284" s="190" t="s">
        <v>61</v>
      </c>
      <c r="B284" s="273">
        <f>'CDCM Forecast Data'!A224</f>
        <v>211</v>
      </c>
      <c r="C284" s="273">
        <f>'CDCM Forecast Data'!A234</f>
        <v>221</v>
      </c>
      <c r="D284" s="273">
        <f>'CDCM Forecast Data'!A244</f>
        <v>231</v>
      </c>
      <c r="E284" s="273">
        <f>'CDCM Forecast Data'!A254</f>
        <v>241</v>
      </c>
      <c r="F284" s="229" t="s">
        <v>262</v>
      </c>
    </row>
    <row r="285" spans="1:6" ht="14.25">
      <c r="A285" s="190" t="s">
        <v>62</v>
      </c>
      <c r="B285" s="273">
        <f>'CDCM Forecast Data'!A225</f>
        <v>212</v>
      </c>
      <c r="C285" s="273">
        <f>'CDCM Forecast Data'!A235</f>
        <v>222</v>
      </c>
      <c r="D285" s="273">
        <f>'CDCM Forecast Data'!A245</f>
        <v>232</v>
      </c>
      <c r="E285" s="273">
        <f>'CDCM Forecast Data'!A255</f>
        <v>242</v>
      </c>
      <c r="F285" s="229" t="s">
        <v>262</v>
      </c>
    </row>
    <row r="286" spans="1:6" ht="14.25">
      <c r="A286" s="190" t="s">
        <v>63</v>
      </c>
      <c r="B286" s="273">
        <f>'CDCM Forecast Data'!A226</f>
        <v>213</v>
      </c>
      <c r="C286" s="273">
        <f>'CDCM Forecast Data'!A236</f>
        <v>223</v>
      </c>
      <c r="D286" s="273">
        <f>'CDCM Forecast Data'!A246</f>
        <v>233</v>
      </c>
      <c r="E286" s="273">
        <f>'CDCM Forecast Data'!A256</f>
        <v>243</v>
      </c>
      <c r="F286" s="229" t="s">
        <v>262</v>
      </c>
    </row>
    <row r="287" spans="1:6" ht="14.25">
      <c r="A287" s="190" t="s">
        <v>64</v>
      </c>
      <c r="B287" s="273">
        <f>'CDCM Forecast Data'!A227</f>
        <v>214</v>
      </c>
      <c r="C287" s="273">
        <f>'CDCM Forecast Data'!A237</f>
        <v>224</v>
      </c>
      <c r="D287" s="273">
        <f>'CDCM Forecast Data'!A247</f>
        <v>234</v>
      </c>
      <c r="E287" s="273">
        <f>'CDCM Forecast Data'!A257</f>
        <v>244</v>
      </c>
      <c r="F287" s="229" t="s">
        <v>262</v>
      </c>
    </row>
    <row r="288" spans="1:6" ht="14.25">
      <c r="A288" s="190" t="s">
        <v>69</v>
      </c>
      <c r="B288" s="273">
        <f>'CDCM Forecast Data'!A228</f>
        <v>215</v>
      </c>
      <c r="C288" s="273">
        <f>'CDCM Forecast Data'!A238</f>
        <v>225</v>
      </c>
      <c r="D288" s="273">
        <f>'CDCM Forecast Data'!A248</f>
        <v>235</v>
      </c>
      <c r="E288" s="273">
        <f>'CDCM Forecast Data'!A258</f>
        <v>245</v>
      </c>
      <c r="F288" s="229" t="s">
        <v>262</v>
      </c>
    </row>
    <row r="289" spans="1:11" ht="14.25">
      <c r="A289" s="190" t="s">
        <v>65</v>
      </c>
      <c r="B289" s="273">
        <f>'CDCM Forecast Data'!A229</f>
        <v>216</v>
      </c>
      <c r="C289" s="273">
        <f>'CDCM Forecast Data'!A239</f>
        <v>226</v>
      </c>
      <c r="D289" s="273">
        <f>'CDCM Forecast Data'!A249</f>
        <v>236</v>
      </c>
      <c r="E289" s="273">
        <f>'CDCM Forecast Data'!A259</f>
        <v>246</v>
      </c>
      <c r="F289" s="229" t="s">
        <v>262</v>
      </c>
    </row>
    <row r="290" spans="1:11" ht="14.25">
      <c r="A290" s="190" t="s">
        <v>66</v>
      </c>
      <c r="B290" s="273">
        <f>'CDCM Forecast Data'!A230</f>
        <v>217</v>
      </c>
      <c r="C290" s="273">
        <f>'CDCM Forecast Data'!A240</f>
        <v>227</v>
      </c>
      <c r="D290" s="273">
        <f>'CDCM Forecast Data'!A250</f>
        <v>237</v>
      </c>
      <c r="E290" s="273">
        <f>'CDCM Forecast Data'!A260</f>
        <v>247</v>
      </c>
      <c r="F290" s="229" t="s">
        <v>262</v>
      </c>
    </row>
    <row r="291" spans="1:11" ht="14.25">
      <c r="A291" s="190" t="s">
        <v>67</v>
      </c>
      <c r="B291" s="273">
        <f>'CDCM Forecast Data'!A231</f>
        <v>218</v>
      </c>
      <c r="C291" s="273">
        <f>'CDCM Forecast Data'!A241</f>
        <v>228</v>
      </c>
      <c r="D291" s="273">
        <f>'CDCM Forecast Data'!A251</f>
        <v>238</v>
      </c>
      <c r="E291" s="273">
        <f>'CDCM Forecast Data'!A261</f>
        <v>248</v>
      </c>
      <c r="F291" s="229" t="s">
        <v>262</v>
      </c>
    </row>
    <row r="293" spans="1:11" ht="15.75">
      <c r="A293" s="168" t="s">
        <v>248</v>
      </c>
    </row>
    <row r="294" spans="1:11" ht="14.25">
      <c r="A294" s="231" t="s">
        <v>262</v>
      </c>
    </row>
    <row r="295" spans="1:11">
      <c r="A295" s="43" t="s">
        <v>249</v>
      </c>
    </row>
    <row r="296" spans="1:11">
      <c r="A296" s="43" t="s">
        <v>250</v>
      </c>
    </row>
    <row r="297" spans="1:11">
      <c r="B297" s="230" t="s">
        <v>60</v>
      </c>
      <c r="C297" s="230" t="s">
        <v>61</v>
      </c>
      <c r="D297" s="230" t="s">
        <v>62</v>
      </c>
      <c r="E297" s="230" t="s">
        <v>63</v>
      </c>
      <c r="F297" s="230" t="s">
        <v>64</v>
      </c>
      <c r="G297" s="230" t="s">
        <v>69</v>
      </c>
      <c r="H297" s="230" t="s">
        <v>65</v>
      </c>
      <c r="I297" s="230" t="s">
        <v>66</v>
      </c>
      <c r="J297" s="230" t="s">
        <v>67</v>
      </c>
    </row>
    <row r="298" spans="1:11" ht="14.25">
      <c r="A298" s="190" t="s">
        <v>251</v>
      </c>
      <c r="B298" s="273">
        <f>'CDCM Forecast Data'!A263</f>
        <v>250</v>
      </c>
      <c r="C298" s="273">
        <f>'CDCM Forecast Data'!A264</f>
        <v>251</v>
      </c>
      <c r="D298" s="273">
        <f>'CDCM Forecast Data'!A265</f>
        <v>252</v>
      </c>
      <c r="E298" s="273">
        <f>'CDCM Forecast Data'!A266</f>
        <v>253</v>
      </c>
      <c r="F298" s="273">
        <f>'CDCM Forecast Data'!A267</f>
        <v>254</v>
      </c>
      <c r="G298" s="273">
        <f>'CDCM Forecast Data'!A268</f>
        <v>255</v>
      </c>
      <c r="H298" s="273">
        <f>'CDCM Forecast Data'!A269</f>
        <v>256</v>
      </c>
      <c r="I298" s="273">
        <f>'CDCM Forecast Data'!A270</f>
        <v>257</v>
      </c>
      <c r="J298" s="273">
        <f>'CDCM Forecast Data'!A271</f>
        <v>258</v>
      </c>
      <c r="K298" s="229" t="s">
        <v>262</v>
      </c>
    </row>
  </sheetData>
  <dataValidations count="3">
    <dataValidation type="decimal" allowBlank="1" showInputMessage="1" showErrorMessage="1" error="Must be a non-negative percentage value." sqref="B30:B31">
      <formula1>0</formula1>
      <formula2>4</formula2>
    </dataValidation>
    <dataValidation type="decimal" allowBlank="1" showInputMessage="1" showErrorMessage="1" error="The LDNO discount must be between 0% and 100%." sqref="B75">
      <formula1>0</formula1>
      <formula2>1</formula2>
    </dataValidation>
    <dataValidation type="decimal" operator="greaterThanOrEqual" allowBlank="1" showInputMessage="1" showErrorMessage="1" sqref="B277:D277 B298:J298 B283:C291 E283:E291 C270:D270">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K84"/>
  <sheetViews>
    <sheetView showGridLines="0" tabSelected="1" workbookViewId="0">
      <selection activeCell="J15" sqref="J15:J84"/>
    </sheetView>
  </sheetViews>
  <sheetFormatPr defaultColWidth="8.85546875" defaultRowHeight="15"/>
  <cols>
    <col min="1" max="1" width="50.7109375" customWidth="1"/>
    <col min="2" max="251" width="20.7109375" customWidth="1"/>
  </cols>
  <sheetData>
    <row r="1" spans="1:11" ht="21" customHeight="1">
      <c r="A1" s="1" t="str">
        <f>"Tariffs"&amp;" for "&amp;CDCM!B7&amp;" in "&amp;CDCM!C7&amp;" ("&amp;CDCM!D7&amp;")"</f>
        <v>Tariffs for 0 in 0 (0)</v>
      </c>
    </row>
    <row r="3" spans="1:11" ht="21" customHeight="1">
      <c r="A3" s="1" t="s">
        <v>1233</v>
      </c>
    </row>
    <row r="4" spans="1:11">
      <c r="A4" s="2" t="s">
        <v>255</v>
      </c>
    </row>
    <row r="5" spans="1:11">
      <c r="A5" s="12" t="s">
        <v>1234</v>
      </c>
    </row>
    <row r="6" spans="1:11">
      <c r="A6" s="12" t="s">
        <v>1235</v>
      </c>
    </row>
    <row r="7" spans="1:11">
      <c r="A7" s="12" t="s">
        <v>1236</v>
      </c>
    </row>
    <row r="8" spans="1:11">
      <c r="A8" s="12" t="s">
        <v>1237</v>
      </c>
    </row>
    <row r="9" spans="1:11">
      <c r="A9" s="12" t="s">
        <v>1238</v>
      </c>
    </row>
    <row r="10" spans="1:11">
      <c r="A10" s="12" t="s">
        <v>1239</v>
      </c>
    </row>
    <row r="11" spans="1:11">
      <c r="A11" s="21" t="s">
        <v>258</v>
      </c>
      <c r="B11" s="21" t="s">
        <v>1240</v>
      </c>
      <c r="C11" s="21" t="s">
        <v>259</v>
      </c>
      <c r="D11" s="21" t="s">
        <v>314</v>
      </c>
      <c r="E11" s="21" t="s">
        <v>314</v>
      </c>
      <c r="F11" s="21" t="s">
        <v>314</v>
      </c>
      <c r="G11" s="21" t="s">
        <v>314</v>
      </c>
      <c r="H11" s="21" t="s">
        <v>314</v>
      </c>
      <c r="I11" s="21" t="s">
        <v>314</v>
      </c>
      <c r="J11" s="21" t="s">
        <v>1240</v>
      </c>
    </row>
    <row r="12" spans="1:11">
      <c r="A12" s="21" t="s">
        <v>261</v>
      </c>
      <c r="B12" s="21" t="s">
        <v>262</v>
      </c>
      <c r="C12" s="21" t="s">
        <v>262</v>
      </c>
      <c r="D12" s="21" t="s">
        <v>741</v>
      </c>
      <c r="E12" s="21" t="s">
        <v>317</v>
      </c>
      <c r="F12" s="21" t="s">
        <v>1241</v>
      </c>
      <c r="G12" s="21" t="s">
        <v>1242</v>
      </c>
      <c r="H12" s="21" t="s">
        <v>655</v>
      </c>
      <c r="I12" s="21" t="s">
        <v>1243</v>
      </c>
      <c r="J12" s="21" t="s">
        <v>262</v>
      </c>
    </row>
    <row r="14" spans="1:11" ht="30">
      <c r="B14" s="3" t="s">
        <v>1244</v>
      </c>
      <c r="C14" s="3" t="s">
        <v>1245</v>
      </c>
      <c r="D14" s="3" t="s">
        <v>1164</v>
      </c>
      <c r="E14" s="3" t="s">
        <v>1165</v>
      </c>
      <c r="F14" s="3" t="s">
        <v>1166</v>
      </c>
      <c r="G14" s="3" t="s">
        <v>1167</v>
      </c>
      <c r="H14" s="3" t="s">
        <v>1168</v>
      </c>
      <c r="I14" s="3" t="s">
        <v>791</v>
      </c>
      <c r="J14" s="3" t="s">
        <v>1246</v>
      </c>
    </row>
    <row r="15" spans="1:11">
      <c r="A15" s="11" t="s">
        <v>92</v>
      </c>
      <c r="B15" s="13" t="s">
        <v>1868</v>
      </c>
      <c r="C15" s="31">
        <v>1</v>
      </c>
      <c r="D15" s="7">
        <f>CDCM!B$4179</f>
        <v>3.0840000000000001</v>
      </c>
      <c r="E15" s="7">
        <f>CDCM!C$4179</f>
        <v>0</v>
      </c>
      <c r="F15" s="7">
        <f>CDCM!D$4179</f>
        <v>0</v>
      </c>
      <c r="G15" s="32">
        <f>CDCM!E$4179</f>
        <v>4.6500000000000004</v>
      </c>
      <c r="H15" s="32">
        <f>CDCM!F$4179</f>
        <v>0</v>
      </c>
      <c r="I15" s="7">
        <f>CDCM!G$4179</f>
        <v>0</v>
      </c>
      <c r="J15" s="13" t="s">
        <v>1874</v>
      </c>
      <c r="K15" s="10"/>
    </row>
    <row r="16" spans="1:11">
      <c r="A16" s="11" t="s">
        <v>93</v>
      </c>
      <c r="B16" s="13" t="s">
        <v>1869</v>
      </c>
      <c r="C16" s="31">
        <v>2</v>
      </c>
      <c r="D16" s="7">
        <f>CDCM!B$4183</f>
        <v>3.343</v>
      </c>
      <c r="E16" s="7">
        <f>CDCM!C$4183</f>
        <v>0.20899999999999999</v>
      </c>
      <c r="F16" s="7">
        <f>CDCM!D$4183</f>
        <v>0</v>
      </c>
      <c r="G16" s="32">
        <f>CDCM!E$4183</f>
        <v>4.6500000000000004</v>
      </c>
      <c r="H16" s="32">
        <f>CDCM!F$4183</f>
        <v>0</v>
      </c>
      <c r="I16" s="7">
        <f>CDCM!G$4183</f>
        <v>0</v>
      </c>
      <c r="J16" s="13" t="s">
        <v>1874</v>
      </c>
      <c r="K16" s="10"/>
    </row>
    <row r="17" spans="1:11">
      <c r="A17" s="11" t="s">
        <v>129</v>
      </c>
      <c r="B17" s="13" t="s">
        <v>1870</v>
      </c>
      <c r="C17" s="31">
        <v>2</v>
      </c>
      <c r="D17" s="7">
        <f>CDCM!B$4187</f>
        <v>0.315</v>
      </c>
      <c r="E17" s="7">
        <f>CDCM!C$4187</f>
        <v>0</v>
      </c>
      <c r="F17" s="7">
        <f>CDCM!D$4187</f>
        <v>0</v>
      </c>
      <c r="G17" s="32">
        <f>CDCM!E$4187</f>
        <v>0</v>
      </c>
      <c r="H17" s="32">
        <f>CDCM!F$4187</f>
        <v>0</v>
      </c>
      <c r="I17" s="7">
        <f>CDCM!G$4187</f>
        <v>0</v>
      </c>
      <c r="J17" s="13" t="s">
        <v>1874</v>
      </c>
      <c r="K17" s="10"/>
    </row>
    <row r="18" spans="1:11">
      <c r="A18" s="11" t="s">
        <v>94</v>
      </c>
      <c r="B18" s="13" t="s">
        <v>1871</v>
      </c>
      <c r="C18" s="31">
        <v>3</v>
      </c>
      <c r="D18" s="7">
        <f>CDCM!B$4191</f>
        <v>2.4260000000000002</v>
      </c>
      <c r="E18" s="7">
        <f>CDCM!C$4191</f>
        <v>0</v>
      </c>
      <c r="F18" s="7">
        <f>CDCM!D$4191</f>
        <v>0</v>
      </c>
      <c r="G18" s="32">
        <f>CDCM!E$4191</f>
        <v>7.82</v>
      </c>
      <c r="H18" s="32">
        <f>CDCM!F$4191</f>
        <v>0</v>
      </c>
      <c r="I18" s="7">
        <f>CDCM!G$4191</f>
        <v>0</v>
      </c>
      <c r="J18" s="13" t="s">
        <v>1874</v>
      </c>
      <c r="K18" s="10"/>
    </row>
    <row r="19" spans="1:11">
      <c r="A19" s="11" t="s">
        <v>95</v>
      </c>
      <c r="B19" s="13" t="s">
        <v>1872</v>
      </c>
      <c r="C19" s="31">
        <v>4</v>
      </c>
      <c r="D19" s="7">
        <f>CDCM!B$4195</f>
        <v>3.125</v>
      </c>
      <c r="E19" s="7">
        <f>CDCM!C$4195</f>
        <v>0.26900000000000002</v>
      </c>
      <c r="F19" s="7">
        <f>CDCM!D$4195</f>
        <v>0</v>
      </c>
      <c r="G19" s="32">
        <f>CDCM!E$4195</f>
        <v>7.82</v>
      </c>
      <c r="H19" s="32">
        <f>CDCM!F$4195</f>
        <v>0</v>
      </c>
      <c r="I19" s="7">
        <f>CDCM!G$4195</f>
        <v>0</v>
      </c>
      <c r="J19" s="13" t="s">
        <v>1874</v>
      </c>
      <c r="K19" s="10"/>
    </row>
    <row r="20" spans="1:11">
      <c r="A20" s="11" t="s">
        <v>130</v>
      </c>
      <c r="B20" s="13" t="s">
        <v>1873</v>
      </c>
      <c r="C20" s="31">
        <v>4</v>
      </c>
      <c r="D20" s="7">
        <f>CDCM!B$4199</f>
        <v>0.32600000000000001</v>
      </c>
      <c r="E20" s="7">
        <f>CDCM!C$4199</f>
        <v>0</v>
      </c>
      <c r="F20" s="7">
        <f>CDCM!D$4199</f>
        <v>0</v>
      </c>
      <c r="G20" s="32">
        <f>CDCM!E$4199</f>
        <v>0</v>
      </c>
      <c r="H20" s="32">
        <f>CDCM!F$4199</f>
        <v>0</v>
      </c>
      <c r="I20" s="7">
        <f>CDCM!G$4199</f>
        <v>0</v>
      </c>
      <c r="J20" s="13" t="s">
        <v>1874</v>
      </c>
      <c r="K20" s="10"/>
    </row>
    <row r="21" spans="1:11">
      <c r="A21" s="11" t="s">
        <v>96</v>
      </c>
      <c r="B21" s="13">
        <v>300</v>
      </c>
      <c r="C21" s="31" t="s">
        <v>1247</v>
      </c>
      <c r="D21" s="7">
        <f>CDCM!B$4203</f>
        <v>2.9140000000000001</v>
      </c>
      <c r="E21" s="7">
        <f>CDCM!C$4203</f>
        <v>0.16200000000000001</v>
      </c>
      <c r="F21" s="7">
        <f>CDCM!D$4203</f>
        <v>0</v>
      </c>
      <c r="G21" s="32">
        <f>CDCM!E$4203</f>
        <v>45.36</v>
      </c>
      <c r="H21" s="32">
        <f>CDCM!F$4203</f>
        <v>0</v>
      </c>
      <c r="I21" s="7">
        <f>CDCM!G$4203</f>
        <v>0</v>
      </c>
      <c r="J21" s="13" t="s">
        <v>1874</v>
      </c>
      <c r="K21" s="10"/>
    </row>
    <row r="22" spans="1:11">
      <c r="A22" s="11" t="s">
        <v>97</v>
      </c>
      <c r="B22" s="13">
        <v>344</v>
      </c>
      <c r="C22" s="31" t="s">
        <v>1247</v>
      </c>
      <c r="D22" s="7">
        <f>CDCM!B$4207</f>
        <v>2.79</v>
      </c>
      <c r="E22" s="7">
        <f>CDCM!C$4207</f>
        <v>0.15</v>
      </c>
      <c r="F22" s="7">
        <f>CDCM!D$4207</f>
        <v>0</v>
      </c>
      <c r="G22" s="32">
        <f>CDCM!E$4207</f>
        <v>32.770000000000003</v>
      </c>
      <c r="H22" s="32">
        <f>CDCM!F$4207</f>
        <v>0</v>
      </c>
      <c r="I22" s="7">
        <f>CDCM!G$4207</f>
        <v>0</v>
      </c>
      <c r="J22" s="13" t="s">
        <v>1874</v>
      </c>
      <c r="K22" s="10"/>
    </row>
    <row r="23" spans="1:11">
      <c r="A23" s="11" t="s">
        <v>110</v>
      </c>
      <c r="B23" s="13">
        <v>400</v>
      </c>
      <c r="C23" s="31" t="s">
        <v>1247</v>
      </c>
      <c r="D23" s="7">
        <f>CDCM!B$4209</f>
        <v>2.048</v>
      </c>
      <c r="E23" s="7">
        <f>CDCM!C$4209</f>
        <v>9.1999999999999998E-2</v>
      </c>
      <c r="F23" s="7">
        <f>CDCM!D$4209</f>
        <v>0</v>
      </c>
      <c r="G23" s="32">
        <f>CDCM!E$4209</f>
        <v>169.78</v>
      </c>
      <c r="H23" s="32">
        <f>CDCM!F$4209</f>
        <v>0</v>
      </c>
      <c r="I23" s="7">
        <f>CDCM!G$4209</f>
        <v>0</v>
      </c>
      <c r="J23" s="13" t="s">
        <v>1874</v>
      </c>
      <c r="K23" s="10"/>
    </row>
    <row r="24" spans="1:11">
      <c r="A24" s="11" t="s">
        <v>1647</v>
      </c>
      <c r="B24" s="13">
        <v>116</v>
      </c>
      <c r="C24" s="31"/>
      <c r="D24" s="7">
        <f>CDCM!B$4211</f>
        <v>18.454999999999998</v>
      </c>
      <c r="E24" s="7">
        <f>CDCM!C$4211</f>
        <v>1.8360000000000001</v>
      </c>
      <c r="F24" s="7">
        <f>CDCM!D$4211</f>
        <v>0.16600000000000001</v>
      </c>
      <c r="G24" s="32">
        <f>CDCM!E$4211</f>
        <v>4.6500000000000004</v>
      </c>
      <c r="H24" s="32">
        <f>CDCM!F$4211</f>
        <v>0</v>
      </c>
      <c r="I24" s="7">
        <f>CDCM!G$4211</f>
        <v>0</v>
      </c>
      <c r="J24" s="13" t="s">
        <v>1874</v>
      </c>
      <c r="K24" s="10"/>
    </row>
    <row r="25" spans="1:11">
      <c r="A25" s="11" t="s">
        <v>1646</v>
      </c>
      <c r="B25" s="13">
        <v>117</v>
      </c>
      <c r="C25" s="31"/>
      <c r="D25" s="7">
        <f>CDCM!B$4215</f>
        <v>18.466999999999999</v>
      </c>
      <c r="E25" s="7">
        <f>CDCM!C$4215</f>
        <v>1.835</v>
      </c>
      <c r="F25" s="7">
        <f>CDCM!D$4215</f>
        <v>0.16600000000000001</v>
      </c>
      <c r="G25" s="32">
        <f>CDCM!E$4215</f>
        <v>7.82</v>
      </c>
      <c r="H25" s="32">
        <f>CDCM!F$4215</f>
        <v>0</v>
      </c>
      <c r="I25" s="7">
        <f>CDCM!G$4215</f>
        <v>0</v>
      </c>
      <c r="J25" s="13" t="s">
        <v>1874</v>
      </c>
      <c r="K25" s="10"/>
    </row>
    <row r="26" spans="1:11">
      <c r="A26" s="11" t="s">
        <v>98</v>
      </c>
      <c r="B26" s="13">
        <v>300</v>
      </c>
      <c r="C26" s="31"/>
      <c r="D26" s="7">
        <f>CDCM!B$4219</f>
        <v>14.289</v>
      </c>
      <c r="E26" s="7">
        <f>CDCM!C$4219</f>
        <v>1.41</v>
      </c>
      <c r="F26" s="7">
        <f>CDCM!D$4219</f>
        <v>0.122</v>
      </c>
      <c r="G26" s="32">
        <f>CDCM!E$4219</f>
        <v>11.7</v>
      </c>
      <c r="H26" s="32">
        <f>CDCM!F$4219</f>
        <v>3.04</v>
      </c>
      <c r="I26" s="7">
        <f>CDCM!G$4219</f>
        <v>0.505</v>
      </c>
      <c r="J26" s="13" t="s">
        <v>1874</v>
      </c>
      <c r="K26" s="10"/>
    </row>
    <row r="27" spans="1:11">
      <c r="A27" s="11" t="s">
        <v>99</v>
      </c>
      <c r="B27" s="13">
        <v>344</v>
      </c>
      <c r="C27" s="31"/>
      <c r="D27" s="7">
        <f>CDCM!B$4223</f>
        <v>11.385999999999999</v>
      </c>
      <c r="E27" s="7">
        <f>CDCM!C$4223</f>
        <v>1.105</v>
      </c>
      <c r="F27" s="7">
        <f>CDCM!D$4223</f>
        <v>0.09</v>
      </c>
      <c r="G27" s="32">
        <f>CDCM!E$4223</f>
        <v>9.01</v>
      </c>
      <c r="H27" s="32">
        <f>CDCM!F$4223</f>
        <v>3.43</v>
      </c>
      <c r="I27" s="7">
        <f>CDCM!G$4223</f>
        <v>0.441</v>
      </c>
      <c r="J27" s="13" t="s">
        <v>1874</v>
      </c>
      <c r="K27" s="10"/>
    </row>
    <row r="28" spans="1:11">
      <c r="A28" s="11" t="s">
        <v>111</v>
      </c>
      <c r="B28" s="13">
        <v>400</v>
      </c>
      <c r="C28" s="31"/>
      <c r="D28" s="7">
        <f>CDCM!B$4226</f>
        <v>10.577999999999999</v>
      </c>
      <c r="E28" s="7">
        <f>CDCM!C$4226</f>
        <v>1.0209999999999999</v>
      </c>
      <c r="F28" s="7">
        <f>CDCM!D$4226</f>
        <v>7.4999999999999997E-2</v>
      </c>
      <c r="G28" s="32">
        <f>CDCM!E$4226</f>
        <v>89.4</v>
      </c>
      <c r="H28" s="32">
        <f>CDCM!F$4226</f>
        <v>3.55</v>
      </c>
      <c r="I28" s="7">
        <f>CDCM!G$4226</f>
        <v>0.34899999999999998</v>
      </c>
      <c r="J28" s="13" t="s">
        <v>1874</v>
      </c>
      <c r="K28" s="10"/>
    </row>
    <row r="29" spans="1:11">
      <c r="A29" s="11" t="s">
        <v>131</v>
      </c>
      <c r="B29" s="13">
        <v>718</v>
      </c>
      <c r="C29" s="31">
        <v>8</v>
      </c>
      <c r="D29" s="7">
        <f>CDCM!B$4229</f>
        <v>2.617</v>
      </c>
      <c r="E29" s="7">
        <f>CDCM!C$4229</f>
        <v>0</v>
      </c>
      <c r="F29" s="7">
        <f>CDCM!D$4229</f>
        <v>0</v>
      </c>
      <c r="G29" s="32">
        <f>CDCM!E$4229</f>
        <v>0</v>
      </c>
      <c r="H29" s="32">
        <f>CDCM!F$4229</f>
        <v>0</v>
      </c>
      <c r="I29" s="7">
        <f>CDCM!G$4229</f>
        <v>0</v>
      </c>
      <c r="J29" s="13" t="s">
        <v>1874</v>
      </c>
      <c r="K29" s="10"/>
    </row>
    <row r="30" spans="1:11">
      <c r="A30" s="11" t="s">
        <v>132</v>
      </c>
      <c r="B30" s="13">
        <v>701</v>
      </c>
      <c r="C30" s="31">
        <v>1</v>
      </c>
      <c r="D30" s="7">
        <f>CDCM!B$4233</f>
        <v>2.964</v>
      </c>
      <c r="E30" s="7">
        <f>CDCM!C$4233</f>
        <v>0</v>
      </c>
      <c r="F30" s="7">
        <f>CDCM!D$4233</f>
        <v>0</v>
      </c>
      <c r="G30" s="32">
        <f>CDCM!E$4233</f>
        <v>0</v>
      </c>
      <c r="H30" s="32">
        <f>CDCM!F$4233</f>
        <v>0</v>
      </c>
      <c r="I30" s="7">
        <f>CDCM!G$4233</f>
        <v>0</v>
      </c>
      <c r="J30" s="13" t="s">
        <v>1874</v>
      </c>
      <c r="K30" s="10"/>
    </row>
    <row r="31" spans="1:11">
      <c r="A31" s="11" t="s">
        <v>133</v>
      </c>
      <c r="B31" s="13">
        <v>719</v>
      </c>
      <c r="C31" s="31">
        <v>1</v>
      </c>
      <c r="D31" s="7">
        <f>CDCM!B$4237</f>
        <v>4.42</v>
      </c>
      <c r="E31" s="7">
        <f>CDCM!C$4237</f>
        <v>0</v>
      </c>
      <c r="F31" s="7">
        <f>CDCM!D$4237</f>
        <v>0</v>
      </c>
      <c r="G31" s="32">
        <f>CDCM!E$4237</f>
        <v>0</v>
      </c>
      <c r="H31" s="32">
        <f>CDCM!F$4237</f>
        <v>0</v>
      </c>
      <c r="I31" s="7">
        <f>CDCM!G$4237</f>
        <v>0</v>
      </c>
      <c r="J31" s="13" t="s">
        <v>1874</v>
      </c>
      <c r="K31" s="10"/>
    </row>
    <row r="32" spans="1:11">
      <c r="A32" s="11" t="s">
        <v>134</v>
      </c>
      <c r="B32" s="13">
        <v>720</v>
      </c>
      <c r="C32" s="31">
        <v>1</v>
      </c>
      <c r="D32" s="7">
        <f>CDCM!B$4241</f>
        <v>2.3180000000000001</v>
      </c>
      <c r="E32" s="7">
        <f>CDCM!C$4241</f>
        <v>0</v>
      </c>
      <c r="F32" s="7">
        <f>CDCM!D$4241</f>
        <v>0</v>
      </c>
      <c r="G32" s="32">
        <f>CDCM!E$4241</f>
        <v>0</v>
      </c>
      <c r="H32" s="32">
        <f>CDCM!F$4241</f>
        <v>0</v>
      </c>
      <c r="I32" s="7">
        <f>CDCM!G$4241</f>
        <v>0</v>
      </c>
      <c r="J32" s="13" t="s">
        <v>1874</v>
      </c>
      <c r="K32" s="10"/>
    </row>
    <row r="33" spans="1:11">
      <c r="A33" s="11" t="s">
        <v>135</v>
      </c>
      <c r="B33" s="13">
        <v>700</v>
      </c>
      <c r="C33" s="31"/>
      <c r="D33" s="7">
        <f>CDCM!B$4245</f>
        <v>39.576000000000001</v>
      </c>
      <c r="E33" s="7">
        <f>CDCM!C$4245</f>
        <v>2.6190000000000002</v>
      </c>
      <c r="F33" s="7">
        <f>CDCM!D$4245</f>
        <v>0.97499999999999998</v>
      </c>
      <c r="G33" s="32">
        <f>CDCM!E$4245</f>
        <v>0</v>
      </c>
      <c r="H33" s="32">
        <f>CDCM!F$4245</f>
        <v>0</v>
      </c>
      <c r="I33" s="7">
        <f>CDCM!G$4245</f>
        <v>0</v>
      </c>
      <c r="J33" s="13" t="s">
        <v>1874</v>
      </c>
      <c r="K33" s="10"/>
    </row>
    <row r="34" spans="1:11">
      <c r="A34" s="11" t="s">
        <v>1645</v>
      </c>
      <c r="B34" s="13">
        <v>697</v>
      </c>
      <c r="C34" s="31" t="s">
        <v>1638</v>
      </c>
      <c r="D34" s="7">
        <f>CDCM!B$4249</f>
        <v>-0.88400000000000001</v>
      </c>
      <c r="E34" s="7">
        <f>CDCM!C$4249</f>
        <v>0</v>
      </c>
      <c r="F34" s="7">
        <f>CDCM!D$4249</f>
        <v>0</v>
      </c>
      <c r="G34" s="32">
        <f>CDCM!E$4249</f>
        <v>0</v>
      </c>
      <c r="H34" s="32">
        <f>CDCM!F$4249</f>
        <v>0</v>
      </c>
      <c r="I34" s="7">
        <f>CDCM!G$4249</f>
        <v>0</v>
      </c>
      <c r="J34" s="13" t="s">
        <v>1874</v>
      </c>
      <c r="K34" s="10"/>
    </row>
    <row r="35" spans="1:11">
      <c r="A35" s="11" t="s">
        <v>100</v>
      </c>
      <c r="B35" s="13">
        <v>717</v>
      </c>
      <c r="C35" s="31">
        <v>8</v>
      </c>
      <c r="D35" s="7">
        <f>CDCM!B$4253</f>
        <v>-0.81</v>
      </c>
      <c r="E35" s="7">
        <f>CDCM!C$4253</f>
        <v>0</v>
      </c>
      <c r="F35" s="7">
        <f>CDCM!D$4253</f>
        <v>0</v>
      </c>
      <c r="G35" s="32">
        <f>CDCM!E$4253</f>
        <v>0</v>
      </c>
      <c r="H35" s="32">
        <f>CDCM!F$4253</f>
        <v>0</v>
      </c>
      <c r="I35" s="7">
        <f>CDCM!G$4253</f>
        <v>0</v>
      </c>
      <c r="J35" s="13" t="s">
        <v>1874</v>
      </c>
      <c r="K35" s="10"/>
    </row>
    <row r="36" spans="1:11">
      <c r="A36" s="11" t="s">
        <v>101</v>
      </c>
      <c r="B36" s="13">
        <v>697</v>
      </c>
      <c r="C36" s="31"/>
      <c r="D36" s="7">
        <f>CDCM!B$4256</f>
        <v>-0.88400000000000001</v>
      </c>
      <c r="E36" s="7">
        <f>CDCM!C$4256</f>
        <v>0</v>
      </c>
      <c r="F36" s="7">
        <f>CDCM!D$4256</f>
        <v>0</v>
      </c>
      <c r="G36" s="32">
        <f>CDCM!E$4256</f>
        <v>0</v>
      </c>
      <c r="H36" s="32">
        <f>CDCM!F$4256</f>
        <v>0</v>
      </c>
      <c r="I36" s="7">
        <f>CDCM!G$4256</f>
        <v>0.28899999999999998</v>
      </c>
      <c r="J36" s="13" t="s">
        <v>1874</v>
      </c>
      <c r="K36" s="10"/>
    </row>
    <row r="37" spans="1:11">
      <c r="A37" s="11" t="s">
        <v>102</v>
      </c>
      <c r="B37" s="13">
        <v>603</v>
      </c>
      <c r="C37" s="31"/>
      <c r="D37" s="7">
        <f>CDCM!B$4260</f>
        <v>-7.1150000000000002</v>
      </c>
      <c r="E37" s="7">
        <f>CDCM!C$4260</f>
        <v>-0.7</v>
      </c>
      <c r="F37" s="7">
        <f>CDCM!D$4260</f>
        <v>-0.107</v>
      </c>
      <c r="G37" s="32">
        <f>CDCM!E$4260</f>
        <v>0</v>
      </c>
      <c r="H37" s="32">
        <f>CDCM!F$4260</f>
        <v>0</v>
      </c>
      <c r="I37" s="7">
        <f>CDCM!G$4260</f>
        <v>0.28899999999999998</v>
      </c>
      <c r="J37" s="13" t="s">
        <v>1874</v>
      </c>
      <c r="K37" s="10"/>
    </row>
    <row r="38" spans="1:11">
      <c r="A38" s="11" t="s">
        <v>103</v>
      </c>
      <c r="B38" s="13">
        <v>602</v>
      </c>
      <c r="C38" s="31"/>
      <c r="D38" s="7">
        <f>CDCM!B$4264</f>
        <v>-0.81</v>
      </c>
      <c r="E38" s="7">
        <f>CDCM!C$4264</f>
        <v>0</v>
      </c>
      <c r="F38" s="7">
        <f>CDCM!D$4264</f>
        <v>0</v>
      </c>
      <c r="G38" s="32">
        <f>CDCM!E$4264</f>
        <v>0</v>
      </c>
      <c r="H38" s="32">
        <f>CDCM!F$4264</f>
        <v>0</v>
      </c>
      <c r="I38" s="7">
        <f>CDCM!G$4264</f>
        <v>0.253</v>
      </c>
      <c r="J38" s="13" t="s">
        <v>1874</v>
      </c>
      <c r="K38" s="10"/>
    </row>
    <row r="39" spans="1:11">
      <c r="A39" s="11" t="s">
        <v>104</v>
      </c>
      <c r="B39" s="13">
        <v>604</v>
      </c>
      <c r="C39" s="31"/>
      <c r="D39" s="7">
        <f>CDCM!B$4267</f>
        <v>-6.5439999999999996</v>
      </c>
      <c r="E39" s="7">
        <f>CDCM!C$4267</f>
        <v>-0.63700000000000001</v>
      </c>
      <c r="F39" s="7">
        <f>CDCM!D$4267</f>
        <v>-9.8000000000000004E-2</v>
      </c>
      <c r="G39" s="32">
        <f>CDCM!E$4267</f>
        <v>0</v>
      </c>
      <c r="H39" s="32">
        <f>CDCM!F$4267</f>
        <v>0</v>
      </c>
      <c r="I39" s="7">
        <f>CDCM!G$4267</f>
        <v>0.253</v>
      </c>
      <c r="J39" s="13" t="s">
        <v>1874</v>
      </c>
      <c r="K39" s="10"/>
    </row>
    <row r="40" spans="1:11">
      <c r="A40" s="11" t="s">
        <v>112</v>
      </c>
      <c r="B40" s="13">
        <v>698</v>
      </c>
      <c r="C40" s="31"/>
      <c r="D40" s="7">
        <f>CDCM!B$4270</f>
        <v>-0.56200000000000006</v>
      </c>
      <c r="E40" s="7">
        <f>CDCM!C$4270</f>
        <v>0</v>
      </c>
      <c r="F40" s="7">
        <f>CDCM!D$4270</f>
        <v>0</v>
      </c>
      <c r="G40" s="32">
        <f>CDCM!E$4270</f>
        <v>43.1</v>
      </c>
      <c r="H40" s="32">
        <f>CDCM!F$4270</f>
        <v>0</v>
      </c>
      <c r="I40" s="7">
        <f>CDCM!G$4270</f>
        <v>0.20699999999999999</v>
      </c>
      <c r="J40" s="13" t="s">
        <v>1874</v>
      </c>
      <c r="K40" s="10"/>
    </row>
    <row r="41" spans="1:11">
      <c r="A41" s="11" t="s">
        <v>113</v>
      </c>
      <c r="B41" s="13">
        <v>606</v>
      </c>
      <c r="C41" s="31"/>
      <c r="D41" s="7">
        <f>CDCM!B$4273</f>
        <v>-4.625</v>
      </c>
      <c r="E41" s="7">
        <f>CDCM!C$4273</f>
        <v>-0.42499999999999999</v>
      </c>
      <c r="F41" s="7">
        <f>CDCM!D$4273</f>
        <v>-7.0000000000000007E-2</v>
      </c>
      <c r="G41" s="32">
        <f>CDCM!E$4273</f>
        <v>43.1</v>
      </c>
      <c r="H41" s="32">
        <f>CDCM!F$4273</f>
        <v>0</v>
      </c>
      <c r="I41" s="7">
        <f>CDCM!G$4273</f>
        <v>0.20699999999999999</v>
      </c>
      <c r="J41" s="13" t="s">
        <v>1874</v>
      </c>
      <c r="K41" s="10"/>
    </row>
    <row r="42" spans="1:11">
      <c r="A42" s="11" t="s">
        <v>147</v>
      </c>
      <c r="B42" s="13">
        <v>870</v>
      </c>
      <c r="C42" s="31">
        <v>1</v>
      </c>
      <c r="D42" s="7">
        <f>CDCM!B$4180</f>
        <v>2.0979999999999999</v>
      </c>
      <c r="E42" s="7">
        <f>CDCM!C$4180</f>
        <v>0</v>
      </c>
      <c r="F42" s="7">
        <f>CDCM!D$4180</f>
        <v>0</v>
      </c>
      <c r="G42" s="32">
        <f>CDCM!E$4180</f>
        <v>3.16</v>
      </c>
      <c r="H42" s="32">
        <f>CDCM!F$4180</f>
        <v>0</v>
      </c>
      <c r="I42" s="7">
        <f>CDCM!G$4180</f>
        <v>0</v>
      </c>
      <c r="J42" s="13" t="s">
        <v>1874</v>
      </c>
      <c r="K42" s="10"/>
    </row>
    <row r="43" spans="1:11">
      <c r="A43" s="11" t="s">
        <v>150</v>
      </c>
      <c r="B43" s="13">
        <v>871</v>
      </c>
      <c r="C43" s="31">
        <v>2</v>
      </c>
      <c r="D43" s="7">
        <f>CDCM!B$4184</f>
        <v>2.274</v>
      </c>
      <c r="E43" s="7">
        <f>CDCM!C$4184</f>
        <v>0.14199999999999999</v>
      </c>
      <c r="F43" s="7">
        <f>CDCM!D$4184</f>
        <v>0</v>
      </c>
      <c r="G43" s="32">
        <f>CDCM!E$4184</f>
        <v>3.16</v>
      </c>
      <c r="H43" s="32">
        <f>CDCM!F$4184</f>
        <v>0</v>
      </c>
      <c r="I43" s="7">
        <f>CDCM!G$4184</f>
        <v>0</v>
      </c>
      <c r="J43" s="13" t="s">
        <v>1874</v>
      </c>
      <c r="K43" s="10"/>
    </row>
    <row r="44" spans="1:11">
      <c r="A44" s="11" t="s">
        <v>153</v>
      </c>
      <c r="B44" s="13">
        <v>872</v>
      </c>
      <c r="C44" s="31">
        <v>2</v>
      </c>
      <c r="D44" s="7">
        <f>CDCM!B$4188</f>
        <v>0.214</v>
      </c>
      <c r="E44" s="7">
        <f>CDCM!C$4188</f>
        <v>0</v>
      </c>
      <c r="F44" s="7">
        <f>CDCM!D$4188</f>
        <v>0</v>
      </c>
      <c r="G44" s="32">
        <f>CDCM!E$4188</f>
        <v>0</v>
      </c>
      <c r="H44" s="32">
        <f>CDCM!F$4188</f>
        <v>0</v>
      </c>
      <c r="I44" s="7">
        <f>CDCM!G$4188</f>
        <v>0</v>
      </c>
      <c r="J44" s="13" t="s">
        <v>1874</v>
      </c>
      <c r="K44" s="10"/>
    </row>
    <row r="45" spans="1:11">
      <c r="A45" s="11" t="s">
        <v>156</v>
      </c>
      <c r="B45" s="13">
        <v>873</v>
      </c>
      <c r="C45" s="31">
        <v>3</v>
      </c>
      <c r="D45" s="7">
        <f>CDCM!B$4192</f>
        <v>1.651</v>
      </c>
      <c r="E45" s="7">
        <f>CDCM!C$4192</f>
        <v>0</v>
      </c>
      <c r="F45" s="7">
        <f>CDCM!D$4192</f>
        <v>0</v>
      </c>
      <c r="G45" s="32">
        <f>CDCM!E$4192</f>
        <v>5.32</v>
      </c>
      <c r="H45" s="32">
        <f>CDCM!F$4192</f>
        <v>0</v>
      </c>
      <c r="I45" s="7">
        <f>CDCM!G$4192</f>
        <v>0</v>
      </c>
      <c r="J45" s="13" t="s">
        <v>1874</v>
      </c>
      <c r="K45" s="10"/>
    </row>
    <row r="46" spans="1:11">
      <c r="A46" s="11" t="s">
        <v>159</v>
      </c>
      <c r="B46" s="13">
        <v>874</v>
      </c>
      <c r="C46" s="31">
        <v>4</v>
      </c>
      <c r="D46" s="7">
        <f>CDCM!B$4196</f>
        <v>2.1259999999999999</v>
      </c>
      <c r="E46" s="7">
        <f>CDCM!C$4196</f>
        <v>0.183</v>
      </c>
      <c r="F46" s="7">
        <f>CDCM!D$4196</f>
        <v>0</v>
      </c>
      <c r="G46" s="32">
        <f>CDCM!E$4196</f>
        <v>5.32</v>
      </c>
      <c r="H46" s="32">
        <f>CDCM!F$4196</f>
        <v>0</v>
      </c>
      <c r="I46" s="7">
        <f>CDCM!G$4196</f>
        <v>0</v>
      </c>
      <c r="J46" s="13" t="s">
        <v>1874</v>
      </c>
      <c r="K46" s="10"/>
    </row>
    <row r="47" spans="1:11" ht="30">
      <c r="A47" s="11" t="s">
        <v>162</v>
      </c>
      <c r="B47" s="13">
        <v>875</v>
      </c>
      <c r="C47" s="31">
        <v>4</v>
      </c>
      <c r="D47" s="7">
        <f>CDCM!B$4200</f>
        <v>0.222</v>
      </c>
      <c r="E47" s="7">
        <f>CDCM!C$4200</f>
        <v>0</v>
      </c>
      <c r="F47" s="7">
        <f>CDCM!D$4200</f>
        <v>0</v>
      </c>
      <c r="G47" s="32">
        <f>CDCM!E$4200</f>
        <v>0</v>
      </c>
      <c r="H47" s="32">
        <f>CDCM!F$4200</f>
        <v>0</v>
      </c>
      <c r="I47" s="7">
        <f>CDCM!G$4200</f>
        <v>0</v>
      </c>
      <c r="J47" s="13" t="s">
        <v>1874</v>
      </c>
      <c r="K47" s="10"/>
    </row>
    <row r="48" spans="1:11">
      <c r="A48" s="11" t="s">
        <v>165</v>
      </c>
      <c r="B48" s="13">
        <v>876</v>
      </c>
      <c r="C48" s="31" t="s">
        <v>1247</v>
      </c>
      <c r="D48" s="7">
        <f>CDCM!B$4204</f>
        <v>1.9830000000000001</v>
      </c>
      <c r="E48" s="7">
        <f>CDCM!C$4204</f>
        <v>0.11</v>
      </c>
      <c r="F48" s="7">
        <f>CDCM!D$4204</f>
        <v>0</v>
      </c>
      <c r="G48" s="32">
        <f>CDCM!E$4204</f>
        <v>30.86</v>
      </c>
      <c r="H48" s="32">
        <f>CDCM!F$4204</f>
        <v>0</v>
      </c>
      <c r="I48" s="7">
        <f>CDCM!G$4204</f>
        <v>0</v>
      </c>
      <c r="J48" s="13" t="s">
        <v>1874</v>
      </c>
      <c r="K48" s="10"/>
    </row>
    <row r="49" spans="1:11">
      <c r="A49" s="11" t="s">
        <v>1644</v>
      </c>
      <c r="B49" s="13"/>
      <c r="C49" s="31"/>
      <c r="D49" s="7">
        <f>CDCM!B$4212</f>
        <v>12.555999999999999</v>
      </c>
      <c r="E49" s="7">
        <f>CDCM!C$4212</f>
        <v>1.2490000000000001</v>
      </c>
      <c r="F49" s="7">
        <f>CDCM!D$4212</f>
        <v>0.113</v>
      </c>
      <c r="G49" s="32">
        <f>CDCM!E$4212</f>
        <v>3.16</v>
      </c>
      <c r="H49" s="32">
        <f>CDCM!F$4212</f>
        <v>0</v>
      </c>
      <c r="I49" s="7">
        <f>CDCM!G$4212</f>
        <v>0</v>
      </c>
      <c r="J49" s="13" t="s">
        <v>1874</v>
      </c>
      <c r="K49" s="10"/>
    </row>
    <row r="50" spans="1:11">
      <c r="A50" s="11" t="s">
        <v>1643</v>
      </c>
      <c r="B50" s="13"/>
      <c r="C50" s="31"/>
      <c r="D50" s="7">
        <f>CDCM!B$4216</f>
        <v>12.564</v>
      </c>
      <c r="E50" s="7">
        <f>CDCM!C$4216</f>
        <v>1.248</v>
      </c>
      <c r="F50" s="7">
        <f>CDCM!D$4216</f>
        <v>0.113</v>
      </c>
      <c r="G50" s="32">
        <f>CDCM!E$4216</f>
        <v>5.32</v>
      </c>
      <c r="H50" s="32">
        <f>CDCM!F$4216</f>
        <v>0</v>
      </c>
      <c r="I50" s="7">
        <f>CDCM!G$4216</f>
        <v>0</v>
      </c>
      <c r="J50" s="13" t="s">
        <v>1874</v>
      </c>
      <c r="K50" s="10"/>
    </row>
    <row r="51" spans="1:11">
      <c r="A51" s="11" t="s">
        <v>170</v>
      </c>
      <c r="B51" s="13">
        <v>877</v>
      </c>
      <c r="C51" s="31"/>
      <c r="D51" s="7">
        <f>CDCM!B$4220</f>
        <v>9.7219999999999995</v>
      </c>
      <c r="E51" s="7">
        <f>CDCM!C$4220</f>
        <v>0.95899999999999996</v>
      </c>
      <c r="F51" s="7">
        <f>CDCM!D$4220</f>
        <v>8.3000000000000004E-2</v>
      </c>
      <c r="G51" s="32">
        <f>CDCM!E$4220</f>
        <v>7.96</v>
      </c>
      <c r="H51" s="32">
        <f>CDCM!F$4220</f>
        <v>2.0699999999999998</v>
      </c>
      <c r="I51" s="7">
        <f>CDCM!G$4220</f>
        <v>0.34399999999999997</v>
      </c>
      <c r="J51" s="13" t="s">
        <v>1874</v>
      </c>
      <c r="K51" s="10"/>
    </row>
    <row r="52" spans="1:11">
      <c r="A52" s="11" t="s">
        <v>177</v>
      </c>
      <c r="B52" s="13">
        <v>877</v>
      </c>
      <c r="C52" s="31">
        <v>8</v>
      </c>
      <c r="D52" s="7">
        <f>CDCM!B$4230</f>
        <v>1.7809999999999999</v>
      </c>
      <c r="E52" s="7">
        <f>CDCM!C$4230</f>
        <v>0</v>
      </c>
      <c r="F52" s="7">
        <f>CDCM!D$4230</f>
        <v>0</v>
      </c>
      <c r="G52" s="32">
        <f>CDCM!E$4230</f>
        <v>0</v>
      </c>
      <c r="H52" s="32">
        <f>CDCM!F$4230</f>
        <v>0</v>
      </c>
      <c r="I52" s="7">
        <f>CDCM!G$4230</f>
        <v>0</v>
      </c>
      <c r="J52" s="13" t="s">
        <v>1874</v>
      </c>
      <c r="K52" s="10"/>
    </row>
    <row r="53" spans="1:11">
      <c r="A53" s="11" t="s">
        <v>180</v>
      </c>
      <c r="B53" s="13">
        <v>878</v>
      </c>
      <c r="C53" s="31">
        <v>1</v>
      </c>
      <c r="D53" s="7">
        <f>CDCM!B$4234</f>
        <v>2.0169999999999999</v>
      </c>
      <c r="E53" s="7">
        <f>CDCM!C$4234</f>
        <v>0</v>
      </c>
      <c r="F53" s="7">
        <f>CDCM!D$4234</f>
        <v>0</v>
      </c>
      <c r="G53" s="32">
        <f>CDCM!E$4234</f>
        <v>0</v>
      </c>
      <c r="H53" s="32">
        <f>CDCM!F$4234</f>
        <v>0</v>
      </c>
      <c r="I53" s="7">
        <f>CDCM!G$4234</f>
        <v>0</v>
      </c>
      <c r="J53" s="13" t="s">
        <v>1874</v>
      </c>
      <c r="K53" s="10"/>
    </row>
    <row r="54" spans="1:11">
      <c r="A54" s="11" t="s">
        <v>183</v>
      </c>
      <c r="B54" s="13">
        <v>879</v>
      </c>
      <c r="C54" s="31">
        <v>1</v>
      </c>
      <c r="D54" s="7">
        <f>CDCM!B$4238</f>
        <v>3.0070000000000001</v>
      </c>
      <c r="E54" s="7">
        <f>CDCM!C$4238</f>
        <v>0</v>
      </c>
      <c r="F54" s="7">
        <f>CDCM!D$4238</f>
        <v>0</v>
      </c>
      <c r="G54" s="32">
        <f>CDCM!E$4238</f>
        <v>0</v>
      </c>
      <c r="H54" s="32">
        <f>CDCM!F$4238</f>
        <v>0</v>
      </c>
      <c r="I54" s="7">
        <f>CDCM!G$4238</f>
        <v>0</v>
      </c>
      <c r="J54" s="13" t="s">
        <v>1874</v>
      </c>
      <c r="K54" s="10"/>
    </row>
    <row r="55" spans="1:11">
      <c r="A55" s="11" t="s">
        <v>186</v>
      </c>
      <c r="B55" s="13">
        <v>881</v>
      </c>
      <c r="C55" s="31">
        <v>1</v>
      </c>
      <c r="D55" s="7">
        <f>CDCM!B$4242</f>
        <v>1.577</v>
      </c>
      <c r="E55" s="7">
        <f>CDCM!C$4242</f>
        <v>0</v>
      </c>
      <c r="F55" s="7">
        <f>CDCM!D$4242</f>
        <v>0</v>
      </c>
      <c r="G55" s="32">
        <f>CDCM!E$4242</f>
        <v>0</v>
      </c>
      <c r="H55" s="32">
        <f>CDCM!F$4242</f>
        <v>0</v>
      </c>
      <c r="I55" s="7">
        <f>CDCM!G$4242</f>
        <v>0</v>
      </c>
      <c r="J55" s="13" t="s">
        <v>1874</v>
      </c>
      <c r="K55" s="10"/>
    </row>
    <row r="56" spans="1:11">
      <c r="A56" s="11" t="s">
        <v>189</v>
      </c>
      <c r="B56" s="13">
        <v>879</v>
      </c>
      <c r="C56" s="31"/>
      <c r="D56" s="7">
        <f>CDCM!B$4246</f>
        <v>26.925999999999998</v>
      </c>
      <c r="E56" s="7">
        <f>CDCM!C$4246</f>
        <v>1.782</v>
      </c>
      <c r="F56" s="7">
        <f>CDCM!D$4246</f>
        <v>0.66300000000000003</v>
      </c>
      <c r="G56" s="32">
        <f>CDCM!E$4246</f>
        <v>0</v>
      </c>
      <c r="H56" s="32">
        <f>CDCM!F$4246</f>
        <v>0</v>
      </c>
      <c r="I56" s="7">
        <f>CDCM!G$4246</f>
        <v>0</v>
      </c>
      <c r="J56" s="13" t="s">
        <v>1874</v>
      </c>
      <c r="K56" s="10"/>
    </row>
    <row r="57" spans="1:11">
      <c r="A57" s="11" t="s">
        <v>1642</v>
      </c>
      <c r="B57" s="13">
        <v>880</v>
      </c>
      <c r="C57" s="31" t="s">
        <v>1638</v>
      </c>
      <c r="D57" s="7">
        <f>CDCM!B$4250</f>
        <v>-0.88400000000000001</v>
      </c>
      <c r="E57" s="7">
        <f>CDCM!C$4250</f>
        <v>0</v>
      </c>
      <c r="F57" s="7">
        <f>CDCM!D$4250</f>
        <v>0</v>
      </c>
      <c r="G57" s="32">
        <f>CDCM!E$4250</f>
        <v>0</v>
      </c>
      <c r="H57" s="32">
        <f>CDCM!F$4250</f>
        <v>0</v>
      </c>
      <c r="I57" s="7">
        <f>CDCM!G$4250</f>
        <v>0</v>
      </c>
      <c r="J57" s="13" t="s">
        <v>1874</v>
      </c>
      <c r="K57" s="10"/>
    </row>
    <row r="58" spans="1:11">
      <c r="A58" s="11" t="s">
        <v>194</v>
      </c>
      <c r="B58" s="13">
        <v>881</v>
      </c>
      <c r="C58" s="31"/>
      <c r="D58" s="7">
        <f>CDCM!B$4257</f>
        <v>-0.88400000000000001</v>
      </c>
      <c r="E58" s="7">
        <f>CDCM!C$4257</f>
        <v>0</v>
      </c>
      <c r="F58" s="7">
        <f>CDCM!D$4257</f>
        <v>0</v>
      </c>
      <c r="G58" s="32">
        <f>CDCM!E$4257</f>
        <v>0</v>
      </c>
      <c r="H58" s="32">
        <f>CDCM!F$4257</f>
        <v>0</v>
      </c>
      <c r="I58" s="7">
        <f>CDCM!G$4257</f>
        <v>0.28899999999999998</v>
      </c>
      <c r="J58" s="13" t="s">
        <v>1874</v>
      </c>
      <c r="K58" s="10"/>
    </row>
    <row r="59" spans="1:11">
      <c r="A59" s="11" t="s">
        <v>197</v>
      </c>
      <c r="B59" s="13">
        <v>882</v>
      </c>
      <c r="C59" s="31"/>
      <c r="D59" s="7">
        <f>CDCM!B$4261</f>
        <v>-7.1150000000000002</v>
      </c>
      <c r="E59" s="7">
        <f>CDCM!C$4261</f>
        <v>-0.7</v>
      </c>
      <c r="F59" s="7">
        <f>CDCM!D$4261</f>
        <v>-0.107</v>
      </c>
      <c r="G59" s="32">
        <f>CDCM!E$4261</f>
        <v>0</v>
      </c>
      <c r="H59" s="32">
        <f>CDCM!F$4261</f>
        <v>0</v>
      </c>
      <c r="I59" s="7">
        <f>CDCM!G$4261</f>
        <v>0.28899999999999998</v>
      </c>
      <c r="J59" s="13" t="s">
        <v>1874</v>
      </c>
      <c r="K59" s="10"/>
    </row>
    <row r="60" spans="1:11">
      <c r="A60" s="11" t="s">
        <v>148</v>
      </c>
      <c r="B60" s="13">
        <v>883</v>
      </c>
      <c r="C60" s="31">
        <v>1</v>
      </c>
      <c r="D60" s="7">
        <f>CDCM!B$4181</f>
        <v>1.115</v>
      </c>
      <c r="E60" s="7">
        <f>CDCM!C$4181</f>
        <v>0</v>
      </c>
      <c r="F60" s="7">
        <f>CDCM!D$4181</f>
        <v>0</v>
      </c>
      <c r="G60" s="32">
        <f>CDCM!E$4181</f>
        <v>1.68</v>
      </c>
      <c r="H60" s="32">
        <f>CDCM!F$4181</f>
        <v>0</v>
      </c>
      <c r="I60" s="7">
        <f>CDCM!G$4181</f>
        <v>0</v>
      </c>
      <c r="J60" s="13" t="s">
        <v>1874</v>
      </c>
      <c r="K60" s="10"/>
    </row>
    <row r="61" spans="1:11">
      <c r="A61" s="11" t="s">
        <v>151</v>
      </c>
      <c r="B61" s="13">
        <v>884</v>
      </c>
      <c r="C61" s="31">
        <v>2</v>
      </c>
      <c r="D61" s="7">
        <f>CDCM!B$4185</f>
        <v>1.2090000000000001</v>
      </c>
      <c r="E61" s="7">
        <f>CDCM!C$4185</f>
        <v>7.5999999999999998E-2</v>
      </c>
      <c r="F61" s="7">
        <f>CDCM!D$4185</f>
        <v>0</v>
      </c>
      <c r="G61" s="32">
        <f>CDCM!E$4185</f>
        <v>1.68</v>
      </c>
      <c r="H61" s="32">
        <f>CDCM!F$4185</f>
        <v>0</v>
      </c>
      <c r="I61" s="7">
        <f>CDCM!G$4185</f>
        <v>0</v>
      </c>
      <c r="J61" s="13" t="s">
        <v>1874</v>
      </c>
      <c r="K61" s="10"/>
    </row>
    <row r="62" spans="1:11">
      <c r="A62" s="11" t="s">
        <v>154</v>
      </c>
      <c r="B62" s="13">
        <v>885</v>
      </c>
      <c r="C62" s="31">
        <v>2</v>
      </c>
      <c r="D62" s="7">
        <f>CDCM!B$4189</f>
        <v>0.114</v>
      </c>
      <c r="E62" s="7">
        <f>CDCM!C$4189</f>
        <v>0</v>
      </c>
      <c r="F62" s="7">
        <f>CDCM!D$4189</f>
        <v>0</v>
      </c>
      <c r="G62" s="32">
        <f>CDCM!E$4189</f>
        <v>0</v>
      </c>
      <c r="H62" s="32">
        <f>CDCM!F$4189</f>
        <v>0</v>
      </c>
      <c r="I62" s="7">
        <f>CDCM!G$4189</f>
        <v>0</v>
      </c>
      <c r="J62" s="13" t="s">
        <v>1874</v>
      </c>
      <c r="K62" s="10"/>
    </row>
    <row r="63" spans="1:11">
      <c r="A63" s="11" t="s">
        <v>157</v>
      </c>
      <c r="B63" s="13">
        <v>886</v>
      </c>
      <c r="C63" s="31">
        <v>3</v>
      </c>
      <c r="D63" s="7">
        <f>CDCM!B$4193</f>
        <v>0.877</v>
      </c>
      <c r="E63" s="7">
        <f>CDCM!C$4193</f>
        <v>0</v>
      </c>
      <c r="F63" s="7">
        <f>CDCM!D$4193</f>
        <v>0</v>
      </c>
      <c r="G63" s="32">
        <f>CDCM!E$4193</f>
        <v>2.83</v>
      </c>
      <c r="H63" s="32">
        <f>CDCM!F$4193</f>
        <v>0</v>
      </c>
      <c r="I63" s="7">
        <f>CDCM!G$4193</f>
        <v>0</v>
      </c>
      <c r="J63" s="13" t="s">
        <v>1874</v>
      </c>
      <c r="K63" s="10"/>
    </row>
    <row r="64" spans="1:11">
      <c r="A64" s="11" t="s">
        <v>160</v>
      </c>
      <c r="B64" s="13">
        <v>887</v>
      </c>
      <c r="C64" s="31">
        <v>4</v>
      </c>
      <c r="D64" s="7">
        <f>CDCM!B$4197</f>
        <v>1.1299999999999999</v>
      </c>
      <c r="E64" s="7">
        <f>CDCM!C$4197</f>
        <v>9.7000000000000003E-2</v>
      </c>
      <c r="F64" s="7">
        <f>CDCM!D$4197</f>
        <v>0</v>
      </c>
      <c r="G64" s="32">
        <f>CDCM!E$4197</f>
        <v>2.83</v>
      </c>
      <c r="H64" s="32">
        <f>CDCM!F$4197</f>
        <v>0</v>
      </c>
      <c r="I64" s="7">
        <f>CDCM!G$4197</f>
        <v>0</v>
      </c>
      <c r="J64" s="13" t="s">
        <v>1874</v>
      </c>
      <c r="K64" s="10"/>
    </row>
    <row r="65" spans="1:11" ht="30">
      <c r="A65" s="11" t="s">
        <v>163</v>
      </c>
      <c r="B65" s="13">
        <v>888</v>
      </c>
      <c r="C65" s="31">
        <v>4</v>
      </c>
      <c r="D65" s="7">
        <f>CDCM!B$4201</f>
        <v>0.11799999999999999</v>
      </c>
      <c r="E65" s="7">
        <f>CDCM!C$4201</f>
        <v>0</v>
      </c>
      <c r="F65" s="7">
        <f>CDCM!D$4201</f>
        <v>0</v>
      </c>
      <c r="G65" s="32">
        <f>CDCM!E$4201</f>
        <v>0</v>
      </c>
      <c r="H65" s="32">
        <f>CDCM!F$4201</f>
        <v>0</v>
      </c>
      <c r="I65" s="7">
        <f>CDCM!G$4201</f>
        <v>0</v>
      </c>
      <c r="J65" s="13" t="s">
        <v>1874</v>
      </c>
      <c r="K65" s="10"/>
    </row>
    <row r="66" spans="1:11">
      <c r="A66" s="11" t="s">
        <v>166</v>
      </c>
      <c r="B66" s="13">
        <v>889</v>
      </c>
      <c r="C66" s="31" t="s">
        <v>1247</v>
      </c>
      <c r="D66" s="7">
        <f>CDCM!B$4205</f>
        <v>1.054</v>
      </c>
      <c r="E66" s="7">
        <f>CDCM!C$4205</f>
        <v>5.8999999999999997E-2</v>
      </c>
      <c r="F66" s="7">
        <f>CDCM!D$4205</f>
        <v>0</v>
      </c>
      <c r="G66" s="32">
        <f>CDCM!E$4205</f>
        <v>16.399999999999999</v>
      </c>
      <c r="H66" s="32">
        <f>CDCM!F$4205</f>
        <v>0</v>
      </c>
      <c r="I66" s="7">
        <f>CDCM!G$4205</f>
        <v>0</v>
      </c>
      <c r="J66" s="13" t="s">
        <v>1874</v>
      </c>
      <c r="K66" s="10"/>
    </row>
    <row r="67" spans="1:11">
      <c r="A67" s="11" t="s">
        <v>1641</v>
      </c>
      <c r="B67" s="13"/>
      <c r="C67" s="31"/>
      <c r="D67" s="7">
        <f>CDCM!B$4213</f>
        <v>6.6719999999999997</v>
      </c>
      <c r="E67" s="7">
        <f>CDCM!C$4213</f>
        <v>0.66400000000000003</v>
      </c>
      <c r="F67" s="7">
        <f>CDCM!D$4213</f>
        <v>0.06</v>
      </c>
      <c r="G67" s="32">
        <f>CDCM!E$4213</f>
        <v>1.68</v>
      </c>
      <c r="H67" s="32">
        <f>CDCM!F$4213</f>
        <v>0</v>
      </c>
      <c r="I67" s="7">
        <f>CDCM!G$4213</f>
        <v>0</v>
      </c>
      <c r="J67" s="13" t="s">
        <v>1874</v>
      </c>
      <c r="K67" s="10"/>
    </row>
    <row r="68" spans="1:11">
      <c r="A68" s="11" t="s">
        <v>1640</v>
      </c>
      <c r="B68" s="13"/>
      <c r="C68" s="31"/>
      <c r="D68" s="7">
        <f>CDCM!B$4217</f>
        <v>6.6760000000000002</v>
      </c>
      <c r="E68" s="7">
        <f>CDCM!C$4217</f>
        <v>0.66300000000000003</v>
      </c>
      <c r="F68" s="7">
        <f>CDCM!D$4217</f>
        <v>0.06</v>
      </c>
      <c r="G68" s="32">
        <f>CDCM!E$4217</f>
        <v>2.83</v>
      </c>
      <c r="H68" s="32">
        <f>CDCM!F$4217</f>
        <v>0</v>
      </c>
      <c r="I68" s="7">
        <f>CDCM!G$4217</f>
        <v>0</v>
      </c>
      <c r="J68" s="13" t="s">
        <v>1874</v>
      </c>
      <c r="K68" s="10"/>
    </row>
    <row r="69" spans="1:11">
      <c r="A69" s="11" t="s">
        <v>171</v>
      </c>
      <c r="B69" s="13">
        <v>890</v>
      </c>
      <c r="C69" s="31"/>
      <c r="D69" s="7">
        <f>CDCM!B$4221</f>
        <v>5.1660000000000004</v>
      </c>
      <c r="E69" s="7">
        <f>CDCM!C$4221</f>
        <v>0.51</v>
      </c>
      <c r="F69" s="7">
        <f>CDCM!D$4221</f>
        <v>4.3999999999999997E-2</v>
      </c>
      <c r="G69" s="32">
        <f>CDCM!E$4221</f>
        <v>4.2300000000000004</v>
      </c>
      <c r="H69" s="32">
        <f>CDCM!F$4221</f>
        <v>1.1000000000000001</v>
      </c>
      <c r="I69" s="7">
        <f>CDCM!G$4221</f>
        <v>0.183</v>
      </c>
      <c r="J69" s="13" t="s">
        <v>1874</v>
      </c>
      <c r="K69" s="10"/>
    </row>
    <row r="70" spans="1:11">
      <c r="A70" s="11" t="s">
        <v>173</v>
      </c>
      <c r="B70" s="13">
        <v>891</v>
      </c>
      <c r="C70" s="31"/>
      <c r="D70" s="7">
        <f>CDCM!B$4224</f>
        <v>6.2229999999999999</v>
      </c>
      <c r="E70" s="7">
        <f>CDCM!C$4224</f>
        <v>0.60399999999999998</v>
      </c>
      <c r="F70" s="7">
        <f>CDCM!D$4224</f>
        <v>4.9000000000000002E-2</v>
      </c>
      <c r="G70" s="32">
        <f>CDCM!E$4224</f>
        <v>4.92</v>
      </c>
      <c r="H70" s="32">
        <f>CDCM!F$4224</f>
        <v>1.87</v>
      </c>
      <c r="I70" s="7">
        <f>CDCM!G$4224</f>
        <v>0.24099999999999999</v>
      </c>
      <c r="J70" s="13" t="s">
        <v>1874</v>
      </c>
      <c r="K70" s="10"/>
    </row>
    <row r="71" spans="1:11">
      <c r="A71" s="11" t="s">
        <v>175</v>
      </c>
      <c r="B71" s="13">
        <v>892</v>
      </c>
      <c r="C71" s="31"/>
      <c r="D71" s="7">
        <f>CDCM!B$4227</f>
        <v>6.9340000000000002</v>
      </c>
      <c r="E71" s="7">
        <f>CDCM!C$4227</f>
        <v>0.66900000000000004</v>
      </c>
      <c r="F71" s="7">
        <f>CDCM!D$4227</f>
        <v>4.9000000000000002E-2</v>
      </c>
      <c r="G71" s="32">
        <f>CDCM!E$4227</f>
        <v>58.61</v>
      </c>
      <c r="H71" s="32">
        <f>CDCM!F$4227</f>
        <v>2.33</v>
      </c>
      <c r="I71" s="7">
        <f>CDCM!G$4227</f>
        <v>0.22900000000000001</v>
      </c>
      <c r="J71" s="13" t="s">
        <v>1874</v>
      </c>
      <c r="K71" s="10"/>
    </row>
    <row r="72" spans="1:11">
      <c r="A72" s="11" t="s">
        <v>178</v>
      </c>
      <c r="B72" s="13">
        <v>891</v>
      </c>
      <c r="C72" s="31">
        <v>8</v>
      </c>
      <c r="D72" s="7">
        <f>CDCM!B$4231</f>
        <v>0.94599999999999995</v>
      </c>
      <c r="E72" s="7">
        <f>CDCM!C$4231</f>
        <v>0</v>
      </c>
      <c r="F72" s="7">
        <f>CDCM!D$4231</f>
        <v>0</v>
      </c>
      <c r="G72" s="32">
        <f>CDCM!E$4231</f>
        <v>0</v>
      </c>
      <c r="H72" s="32">
        <f>CDCM!F$4231</f>
        <v>0</v>
      </c>
      <c r="I72" s="7">
        <f>CDCM!G$4231</f>
        <v>0</v>
      </c>
      <c r="J72" s="13" t="s">
        <v>1874</v>
      </c>
      <c r="K72" s="10"/>
    </row>
    <row r="73" spans="1:11">
      <c r="A73" s="11" t="s">
        <v>181</v>
      </c>
      <c r="B73" s="13">
        <v>893</v>
      </c>
      <c r="C73" s="31">
        <v>1</v>
      </c>
      <c r="D73" s="7">
        <f>CDCM!B$4235</f>
        <v>1.0720000000000001</v>
      </c>
      <c r="E73" s="7">
        <f>CDCM!C$4235</f>
        <v>0</v>
      </c>
      <c r="F73" s="7">
        <f>CDCM!D$4235</f>
        <v>0</v>
      </c>
      <c r="G73" s="32">
        <f>CDCM!E$4235</f>
        <v>0</v>
      </c>
      <c r="H73" s="32">
        <f>CDCM!F$4235</f>
        <v>0</v>
      </c>
      <c r="I73" s="7">
        <f>CDCM!G$4235</f>
        <v>0</v>
      </c>
      <c r="J73" s="13" t="s">
        <v>1874</v>
      </c>
      <c r="K73" s="10"/>
    </row>
    <row r="74" spans="1:11">
      <c r="A74" s="11" t="s">
        <v>184</v>
      </c>
      <c r="B74" s="13">
        <v>894</v>
      </c>
      <c r="C74" s="31">
        <v>1</v>
      </c>
      <c r="D74" s="7">
        <f>CDCM!B$4239</f>
        <v>1.5980000000000001</v>
      </c>
      <c r="E74" s="7">
        <f>CDCM!C$4239</f>
        <v>0</v>
      </c>
      <c r="F74" s="7">
        <f>CDCM!D$4239</f>
        <v>0</v>
      </c>
      <c r="G74" s="32">
        <f>CDCM!E$4239</f>
        <v>0</v>
      </c>
      <c r="H74" s="32">
        <f>CDCM!F$4239</f>
        <v>0</v>
      </c>
      <c r="I74" s="7">
        <f>CDCM!G$4239</f>
        <v>0</v>
      </c>
      <c r="J74" s="13" t="s">
        <v>1874</v>
      </c>
      <c r="K74" s="10"/>
    </row>
    <row r="75" spans="1:11">
      <c r="A75" s="11" t="s">
        <v>187</v>
      </c>
      <c r="B75" s="13">
        <v>896</v>
      </c>
      <c r="C75" s="31">
        <v>1</v>
      </c>
      <c r="D75" s="7">
        <f>CDCM!B$4243</f>
        <v>0.83799999999999997</v>
      </c>
      <c r="E75" s="7">
        <f>CDCM!C$4243</f>
        <v>0</v>
      </c>
      <c r="F75" s="7">
        <f>CDCM!D$4243</f>
        <v>0</v>
      </c>
      <c r="G75" s="32">
        <f>CDCM!E$4243</f>
        <v>0</v>
      </c>
      <c r="H75" s="32">
        <f>CDCM!F$4243</f>
        <v>0</v>
      </c>
      <c r="I75" s="7">
        <f>CDCM!G$4243</f>
        <v>0</v>
      </c>
      <c r="J75" s="13" t="s">
        <v>1874</v>
      </c>
      <c r="K75" s="10"/>
    </row>
    <row r="76" spans="1:11">
      <c r="A76" s="11" t="s">
        <v>190</v>
      </c>
      <c r="B76" s="13">
        <v>894</v>
      </c>
      <c r="C76" s="31"/>
      <c r="D76" s="7">
        <f>CDCM!B$4247</f>
        <v>14.308</v>
      </c>
      <c r="E76" s="7">
        <f>CDCM!C$4247</f>
        <v>0.94699999999999995</v>
      </c>
      <c r="F76" s="7">
        <f>CDCM!D$4247</f>
        <v>0.35199999999999998</v>
      </c>
      <c r="G76" s="32">
        <f>CDCM!E$4247</f>
        <v>0</v>
      </c>
      <c r="H76" s="32">
        <f>CDCM!F$4247</f>
        <v>0</v>
      </c>
      <c r="I76" s="7">
        <f>CDCM!G$4247</f>
        <v>0</v>
      </c>
      <c r="J76" s="13" t="s">
        <v>1874</v>
      </c>
      <c r="K76" s="10"/>
    </row>
    <row r="77" spans="1:11">
      <c r="A77" s="11" t="s">
        <v>1639</v>
      </c>
      <c r="B77" s="13">
        <v>895</v>
      </c>
      <c r="C77" s="31" t="s">
        <v>1638</v>
      </c>
      <c r="D77" s="7">
        <f>CDCM!B$4251</f>
        <v>-0.88400000000000001</v>
      </c>
      <c r="E77" s="7">
        <f>CDCM!C$4251</f>
        <v>0</v>
      </c>
      <c r="F77" s="7">
        <f>CDCM!D$4251</f>
        <v>0</v>
      </c>
      <c r="G77" s="32">
        <f>CDCM!E$4251</f>
        <v>0</v>
      </c>
      <c r="H77" s="32">
        <f>CDCM!F$4251</f>
        <v>0</v>
      </c>
      <c r="I77" s="7">
        <f>CDCM!G$4251</f>
        <v>0</v>
      </c>
      <c r="J77" s="13" t="s">
        <v>1874</v>
      </c>
      <c r="K77" s="10"/>
    </row>
    <row r="78" spans="1:11">
      <c r="A78" s="11" t="s">
        <v>192</v>
      </c>
      <c r="B78" s="13">
        <v>902</v>
      </c>
      <c r="C78" s="31">
        <v>8</v>
      </c>
      <c r="D78" s="7">
        <f>CDCM!B$4254</f>
        <v>-0.81</v>
      </c>
      <c r="E78" s="7">
        <f>CDCM!C$4254</f>
        <v>0</v>
      </c>
      <c r="F78" s="7">
        <f>CDCM!D$4254</f>
        <v>0</v>
      </c>
      <c r="G78" s="32">
        <f>CDCM!E$4254</f>
        <v>0</v>
      </c>
      <c r="H78" s="32">
        <f>CDCM!F$4254</f>
        <v>0</v>
      </c>
      <c r="I78" s="7">
        <f>CDCM!G$4254</f>
        <v>0</v>
      </c>
      <c r="J78" s="13" t="s">
        <v>1874</v>
      </c>
      <c r="K78" s="10"/>
    </row>
    <row r="79" spans="1:11">
      <c r="A79" s="11" t="s">
        <v>195</v>
      </c>
      <c r="B79" s="13">
        <v>896</v>
      </c>
      <c r="C79" s="31"/>
      <c r="D79" s="7">
        <f>CDCM!B$4258</f>
        <v>-0.88400000000000001</v>
      </c>
      <c r="E79" s="7">
        <f>CDCM!C$4258</f>
        <v>0</v>
      </c>
      <c r="F79" s="7">
        <f>CDCM!D$4258</f>
        <v>0</v>
      </c>
      <c r="G79" s="32">
        <f>CDCM!E$4258</f>
        <v>0</v>
      </c>
      <c r="H79" s="32">
        <f>CDCM!F$4258</f>
        <v>0</v>
      </c>
      <c r="I79" s="7">
        <f>CDCM!G$4258</f>
        <v>0.28899999999999998</v>
      </c>
      <c r="J79" s="13" t="s">
        <v>1874</v>
      </c>
      <c r="K79" s="10"/>
    </row>
    <row r="80" spans="1:11">
      <c r="A80" s="11" t="s">
        <v>198</v>
      </c>
      <c r="B80" s="13">
        <v>897</v>
      </c>
      <c r="C80" s="31"/>
      <c r="D80" s="7">
        <f>CDCM!B$4262</f>
        <v>-7.1150000000000002</v>
      </c>
      <c r="E80" s="7">
        <f>CDCM!C$4262</f>
        <v>-0.7</v>
      </c>
      <c r="F80" s="7">
        <f>CDCM!D$4262</f>
        <v>-0.107</v>
      </c>
      <c r="G80" s="32">
        <f>CDCM!E$4262</f>
        <v>0</v>
      </c>
      <c r="H80" s="32">
        <f>CDCM!F$4262</f>
        <v>0</v>
      </c>
      <c r="I80" s="7">
        <f>CDCM!G$4262</f>
        <v>0.28899999999999998</v>
      </c>
      <c r="J80" s="13" t="s">
        <v>1874</v>
      </c>
      <c r="K80" s="10"/>
    </row>
    <row r="81" spans="1:11">
      <c r="A81" s="11" t="s">
        <v>200</v>
      </c>
      <c r="B81" s="13">
        <v>898</v>
      </c>
      <c r="C81" s="31"/>
      <c r="D81" s="7">
        <f>CDCM!B$4265</f>
        <v>-0.81</v>
      </c>
      <c r="E81" s="7">
        <f>CDCM!C$4265</f>
        <v>0</v>
      </c>
      <c r="F81" s="7">
        <f>CDCM!D$4265</f>
        <v>0</v>
      </c>
      <c r="G81" s="32">
        <f>CDCM!E$4265</f>
        <v>0</v>
      </c>
      <c r="H81" s="32">
        <f>CDCM!F$4265</f>
        <v>0</v>
      </c>
      <c r="I81" s="7">
        <f>CDCM!G$4265</f>
        <v>0.253</v>
      </c>
      <c r="J81" s="13" t="s">
        <v>1874</v>
      </c>
      <c r="K81" s="10"/>
    </row>
    <row r="82" spans="1:11">
      <c r="A82" s="11" t="s">
        <v>202</v>
      </c>
      <c r="B82" s="13">
        <v>899</v>
      </c>
      <c r="C82" s="31"/>
      <c r="D82" s="7">
        <f>CDCM!B$4268</f>
        <v>-6.5439999999999996</v>
      </c>
      <c r="E82" s="7">
        <f>CDCM!C$4268</f>
        <v>-0.63700000000000001</v>
      </c>
      <c r="F82" s="7">
        <f>CDCM!D$4268</f>
        <v>-9.8000000000000004E-2</v>
      </c>
      <c r="G82" s="32">
        <f>CDCM!E$4268</f>
        <v>0</v>
      </c>
      <c r="H82" s="32">
        <f>CDCM!F$4268</f>
        <v>0</v>
      </c>
      <c r="I82" s="7">
        <f>CDCM!G$4268</f>
        <v>0.253</v>
      </c>
      <c r="J82" s="13" t="s">
        <v>1874</v>
      </c>
      <c r="K82" s="10"/>
    </row>
    <row r="83" spans="1:11">
      <c r="A83" s="11" t="s">
        <v>204</v>
      </c>
      <c r="B83" s="13">
        <v>900</v>
      </c>
      <c r="C83" s="31"/>
      <c r="D83" s="7">
        <f>CDCM!B$4271</f>
        <v>-0.56200000000000006</v>
      </c>
      <c r="E83" s="7">
        <f>CDCM!C$4271</f>
        <v>0</v>
      </c>
      <c r="F83" s="7">
        <f>CDCM!D$4271</f>
        <v>0</v>
      </c>
      <c r="G83" s="32">
        <f>CDCM!E$4271</f>
        <v>0</v>
      </c>
      <c r="H83" s="32">
        <f>CDCM!F$4271</f>
        <v>0</v>
      </c>
      <c r="I83" s="7">
        <f>CDCM!G$4271</f>
        <v>0.20699999999999999</v>
      </c>
      <c r="J83" s="13" t="s">
        <v>1874</v>
      </c>
      <c r="K83" s="10"/>
    </row>
    <row r="84" spans="1:11">
      <c r="A84" s="11" t="s">
        <v>206</v>
      </c>
      <c r="B84" s="13">
        <v>901</v>
      </c>
      <c r="C84" s="31"/>
      <c r="D84" s="7">
        <f>CDCM!B$4274</f>
        <v>-4.625</v>
      </c>
      <c r="E84" s="7">
        <f>CDCM!C$4274</f>
        <v>-0.42499999999999999</v>
      </c>
      <c r="F84" s="7">
        <f>CDCM!D$4274</f>
        <v>-7.0000000000000007E-2</v>
      </c>
      <c r="G84" s="32">
        <f>CDCM!E$4274</f>
        <v>0</v>
      </c>
      <c r="H84" s="32">
        <f>CDCM!F$4274</f>
        <v>0</v>
      </c>
      <c r="I84" s="7">
        <f>CDCM!G$4274</f>
        <v>0.20699999999999999</v>
      </c>
      <c r="J84" s="13" t="s">
        <v>1874</v>
      </c>
      <c r="K84" s="10"/>
    </row>
  </sheetData>
  <sheetProtection sheet="1" objects="1" scenarios="1"/>
  <hyperlinks>
    <hyperlink ref="A5" location="'CDCM'!B4177" display="x1 = 3607. Unit rate 1 p/kWh (in Tariffs)"/>
    <hyperlink ref="A6" location="'CDCM'!C4177" display="x2 = 3607. Unit rate 2 p/kWh (in Tariffs)"/>
    <hyperlink ref="A7" location="'CDCM'!D4177" display="x3 = 3607. Unit rate 3 p/kWh (in Tariffs)"/>
    <hyperlink ref="A8" location="'CDCM'!E4177" display="x4 = 3607. Fixed charge p/MPAN/day (in Tariffs)"/>
    <hyperlink ref="A9" location="'CDCM'!F4177" display="x5 = 3607. Capacity charge p/kVA/day (in Tariffs)"/>
    <hyperlink ref="A10" location="'CDCM'!G4177" display="x6 = 3607. Reactive power charge p/kVArh (in Tariffs)"/>
  </hyperlinks>
  <pageMargins left="0.7" right="0.7" top="0.75" bottom="0.75" header="0.3" footer="0.3"/>
  <pageSetup paperSize="9" fitToHeight="0" orientation="portrait"/>
  <headerFooter>
    <oddHeader>&amp;L&amp;A&amp;C&amp;R&amp;P of &amp;N</oddHeader>
    <oddFooter>&amp;F</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U156"/>
  <sheetViews>
    <sheetView showGridLines="0" workbookViewId="0">
      <pane xSplit="1" ySplit="1" topLeftCell="G32" activePane="bottomRight" state="frozen"/>
      <selection pane="topRight"/>
      <selection pane="bottomLeft"/>
      <selection pane="bottomRight" activeCell="J45" sqref="J45:J141"/>
    </sheetView>
  </sheetViews>
  <sheetFormatPr defaultColWidth="8.85546875" defaultRowHeight="15"/>
  <cols>
    <col min="1" max="1" width="50.7109375" customWidth="1"/>
    <col min="2" max="251" width="20.7109375" customWidth="1"/>
  </cols>
  <sheetData>
    <row r="1" spans="1:6" ht="21" customHeight="1">
      <c r="A1" s="1" t="str">
        <f>"Summary"&amp;" for "&amp;CDCM!B7&amp;" in "&amp;CDCM!C7&amp;" ("&amp;CDCM!D7&amp;")"</f>
        <v>Summary for 0 in 0 (0)</v>
      </c>
    </row>
    <row r="2" spans="1:6">
      <c r="A2" s="2" t="s">
        <v>1248</v>
      </c>
    </row>
    <row r="4" spans="1:6" ht="21" customHeight="1">
      <c r="A4" s="1" t="s">
        <v>1562</v>
      </c>
    </row>
    <row r="5" spans="1:6">
      <c r="A5" s="2" t="s">
        <v>255</v>
      </c>
    </row>
    <row r="6" spans="1:6">
      <c r="A6" s="12" t="s">
        <v>369</v>
      </c>
    </row>
    <row r="7" spans="1:6">
      <c r="A7" s="12" t="s">
        <v>1250</v>
      </c>
    </row>
    <row r="8" spans="1:6">
      <c r="A8" s="12" t="s">
        <v>1251</v>
      </c>
    </row>
    <row r="9" spans="1:6">
      <c r="A9" s="12" t="s">
        <v>1561</v>
      </c>
    </row>
    <row r="10" spans="1:6">
      <c r="A10" s="21" t="s">
        <v>258</v>
      </c>
      <c r="B10" s="21" t="s">
        <v>314</v>
      </c>
      <c r="C10" s="21" t="s">
        <v>314</v>
      </c>
      <c r="D10" s="21" t="s">
        <v>314</v>
      </c>
      <c r="E10" s="21" t="s">
        <v>385</v>
      </c>
    </row>
    <row r="11" spans="1:6">
      <c r="A11" s="21" t="s">
        <v>261</v>
      </c>
      <c r="B11" s="21" t="s">
        <v>741</v>
      </c>
      <c r="C11" s="21" t="s">
        <v>317</v>
      </c>
      <c r="D11" s="21" t="s">
        <v>1241</v>
      </c>
      <c r="E11" s="21" t="s">
        <v>1560</v>
      </c>
    </row>
    <row r="13" spans="1:6" ht="45">
      <c r="B13" s="3" t="s">
        <v>50</v>
      </c>
      <c r="C13" s="3" t="s">
        <v>1213</v>
      </c>
      <c r="D13" s="3" t="s">
        <v>1216</v>
      </c>
      <c r="E13" s="3" t="s">
        <v>1252</v>
      </c>
    </row>
    <row r="14" spans="1:6">
      <c r="A14" s="11" t="s">
        <v>1559</v>
      </c>
      <c r="B14" s="5">
        <f>CDCM!D14</f>
        <v>0</v>
      </c>
      <c r="C14" s="28">
        <f>CDCM!C4162</f>
        <v>94672218.528004587</v>
      </c>
      <c r="D14" s="28">
        <f>CDCM!F4162</f>
        <v>-5627.6985077261925</v>
      </c>
      <c r="E14" s="24">
        <f>CDCM!F4162/CDCM!B325</f>
        <v>-2.3422147687216569E-5</v>
      </c>
      <c r="F14" s="10"/>
    </row>
    <row r="16" spans="1:6" ht="21" customHeight="1">
      <c r="A16" s="1" t="s">
        <v>1253</v>
      </c>
    </row>
    <row r="17" spans="1:1">
      <c r="A17" s="2" t="s">
        <v>255</v>
      </c>
    </row>
    <row r="18" spans="1:1">
      <c r="A18" s="12" t="s">
        <v>1254</v>
      </c>
    </row>
    <row r="19" spans="1:1">
      <c r="A19" s="12" t="s">
        <v>1255</v>
      </c>
    </row>
    <row r="20" spans="1:1">
      <c r="A20" s="12" t="s">
        <v>1256</v>
      </c>
    </row>
    <row r="21" spans="1:1">
      <c r="A21" s="12" t="s">
        <v>1257</v>
      </c>
    </row>
    <row r="22" spans="1:1">
      <c r="A22" s="12" t="s">
        <v>525</v>
      </c>
    </row>
    <row r="23" spans="1:1">
      <c r="A23" s="12" t="s">
        <v>1258</v>
      </c>
    </row>
    <row r="24" spans="1:1">
      <c r="A24" s="12" t="s">
        <v>1259</v>
      </c>
    </row>
    <row r="25" spans="1:1">
      <c r="A25" s="12" t="s">
        <v>1260</v>
      </c>
    </row>
    <row r="26" spans="1:1">
      <c r="A26" s="12" t="s">
        <v>1261</v>
      </c>
    </row>
    <row r="27" spans="1:1">
      <c r="A27" s="12" t="s">
        <v>1262</v>
      </c>
    </row>
    <row r="28" spans="1:1">
      <c r="A28" s="12" t="s">
        <v>1263</v>
      </c>
    </row>
    <row r="29" spans="1:1">
      <c r="A29" s="12" t="s">
        <v>1264</v>
      </c>
    </row>
    <row r="30" spans="1:1">
      <c r="A30" s="12" t="s">
        <v>1265</v>
      </c>
    </row>
    <row r="31" spans="1:1">
      <c r="A31" s="12" t="s">
        <v>1266</v>
      </c>
    </row>
    <row r="32" spans="1:1">
      <c r="A32" s="12" t="s">
        <v>1267</v>
      </c>
    </row>
    <row r="33" spans="1:21">
      <c r="A33" s="12" t="s">
        <v>1268</v>
      </c>
    </row>
    <row r="34" spans="1:21">
      <c r="A34" s="12" t="s">
        <v>1269</v>
      </c>
    </row>
    <row r="35" spans="1:21">
      <c r="A35" s="12" t="s">
        <v>1270</v>
      </c>
    </row>
    <row r="36" spans="1:21">
      <c r="A36" s="12" t="s">
        <v>1271</v>
      </c>
    </row>
    <row r="37" spans="1:21">
      <c r="A37" s="12" t="s">
        <v>1272</v>
      </c>
    </row>
    <row r="38" spans="1:21">
      <c r="A38" s="12" t="s">
        <v>1273</v>
      </c>
    </row>
    <row r="39" spans="1:21">
      <c r="A39" s="12" t="s">
        <v>1274</v>
      </c>
    </row>
    <row r="40" spans="1:21">
      <c r="A40" s="12" t="s">
        <v>1275</v>
      </c>
    </row>
    <row r="41" spans="1:21">
      <c r="A41" s="21" t="s">
        <v>258</v>
      </c>
      <c r="B41" s="21" t="s">
        <v>385</v>
      </c>
      <c r="C41" s="21" t="s">
        <v>314</v>
      </c>
      <c r="D41" s="21" t="s">
        <v>385</v>
      </c>
      <c r="E41" s="21" t="s">
        <v>385</v>
      </c>
      <c r="F41" s="21" t="s">
        <v>385</v>
      </c>
      <c r="G41" s="21" t="s">
        <v>385</v>
      </c>
      <c r="H41" s="21" t="s">
        <v>385</v>
      </c>
      <c r="I41" s="21" t="s">
        <v>385</v>
      </c>
      <c r="J41" s="21" t="s">
        <v>385</v>
      </c>
      <c r="K41" s="21" t="s">
        <v>385</v>
      </c>
      <c r="L41" s="21" t="s">
        <v>385</v>
      </c>
      <c r="M41" s="21" t="s">
        <v>385</v>
      </c>
      <c r="N41" s="21" t="s">
        <v>385</v>
      </c>
      <c r="O41" s="21" t="s">
        <v>385</v>
      </c>
      <c r="P41" s="21" t="s">
        <v>385</v>
      </c>
      <c r="Q41" s="21" t="s">
        <v>385</v>
      </c>
      <c r="R41" s="21" t="s">
        <v>385</v>
      </c>
      <c r="S41" s="21" t="s">
        <v>385</v>
      </c>
      <c r="T41" s="21" t="s">
        <v>385</v>
      </c>
    </row>
    <row r="42" spans="1:21" ht="45">
      <c r="A42" s="21" t="s">
        <v>261</v>
      </c>
      <c r="B42" s="21" t="s">
        <v>1276</v>
      </c>
      <c r="C42" s="21" t="s">
        <v>1242</v>
      </c>
      <c r="D42" s="21" t="s">
        <v>1277</v>
      </c>
      <c r="E42" s="21" t="s">
        <v>1278</v>
      </c>
      <c r="F42" s="21" t="s">
        <v>1279</v>
      </c>
      <c r="G42" s="21" t="s">
        <v>1280</v>
      </c>
      <c r="H42" s="21" t="s">
        <v>1281</v>
      </c>
      <c r="I42" s="21" t="s">
        <v>1282</v>
      </c>
      <c r="J42" s="21" t="s">
        <v>1283</v>
      </c>
      <c r="K42" s="21" t="s">
        <v>1284</v>
      </c>
      <c r="L42" s="21" t="s">
        <v>1285</v>
      </c>
      <c r="M42" s="21" t="s">
        <v>1286</v>
      </c>
      <c r="N42" s="21" t="s">
        <v>1287</v>
      </c>
      <c r="O42" s="21" t="s">
        <v>1288</v>
      </c>
      <c r="P42" s="21" t="s">
        <v>1289</v>
      </c>
      <c r="Q42" s="21" t="s">
        <v>1290</v>
      </c>
      <c r="R42" s="21" t="s">
        <v>1291</v>
      </c>
      <c r="S42" s="21" t="s">
        <v>1292</v>
      </c>
      <c r="T42" s="21" t="s">
        <v>1293</v>
      </c>
    </row>
    <row r="44" spans="1:21" ht="45">
      <c r="B44" s="3" t="s">
        <v>473</v>
      </c>
      <c r="C44" s="3" t="s">
        <v>143</v>
      </c>
      <c r="D44" s="3" t="s">
        <v>1294</v>
      </c>
      <c r="E44" s="3" t="s">
        <v>1295</v>
      </c>
      <c r="F44" s="3" t="s">
        <v>1296</v>
      </c>
      <c r="G44" s="3" t="s">
        <v>1297</v>
      </c>
      <c r="H44" s="3" t="s">
        <v>1298</v>
      </c>
      <c r="I44" s="3" t="s">
        <v>1299</v>
      </c>
      <c r="J44" s="3" t="s">
        <v>1300</v>
      </c>
      <c r="K44" s="3" t="s">
        <v>1301</v>
      </c>
      <c r="L44" s="3" t="s">
        <v>1302</v>
      </c>
      <c r="M44" s="3" t="s">
        <v>1303</v>
      </c>
      <c r="N44" s="3" t="s">
        <v>1304</v>
      </c>
      <c r="O44" s="3" t="s">
        <v>1305</v>
      </c>
      <c r="P44" s="3" t="s">
        <v>1306</v>
      </c>
      <c r="Q44" s="3" t="s">
        <v>1307</v>
      </c>
      <c r="R44" s="3" t="s">
        <v>1308</v>
      </c>
      <c r="S44" s="3" t="s">
        <v>1309</v>
      </c>
      <c r="T44" s="3" t="s">
        <v>1310</v>
      </c>
    </row>
    <row r="45" spans="1:21">
      <c r="A45" s="17" t="s">
        <v>146</v>
      </c>
      <c r="U45" s="10"/>
    </row>
    <row r="46" spans="1:21">
      <c r="A46" s="11" t="s">
        <v>92</v>
      </c>
      <c r="B46" s="15">
        <f>CDCM!B143+CDCM!C143+CDCM!D143</f>
        <v>3242264.655750392</v>
      </c>
      <c r="C46" s="28">
        <f>CDCM!E143</f>
        <v>964740</v>
      </c>
      <c r="D46" s="15">
        <f>0.01*CDCM!F$14*(CDCM!$E4179*CDCM!E143+CDCM!$F4179*CDCM!F143)+10*(CDCM!$B4179*CDCM!B143+CDCM!$C4179*CDCM!C143+CDCM!$D4179*CDCM!D143+CDCM!$G4179*CDCM!G143)</f>
        <v>116410352.0433421</v>
      </c>
      <c r="E46" s="15">
        <f>10*(CDCM!$B4179*CDCM!B143+CDCM!$C4179*CDCM!C143+CDCM!$D4179*CDCM!D143)</f>
        <v>99991441.983342096</v>
      </c>
      <c r="F46" s="15">
        <f>CDCM!E4179*CDCM!$F$14*CDCM!$E143/100</f>
        <v>16418910.060000001</v>
      </c>
      <c r="G46" s="15">
        <f>CDCM!F4179*CDCM!$F$14*CDCM!$F143/100</f>
        <v>0</v>
      </c>
      <c r="H46" s="15">
        <f>CDCM!G4179*CDCM!$G143*10</f>
        <v>0</v>
      </c>
      <c r="I46" s="6">
        <f>IF(B46&lt;&gt;0,0.1*D46/B46,"")</f>
        <v>3.5904025242627831</v>
      </c>
      <c r="J46" s="30">
        <f>IF(C46&lt;&gt;0,D46/C46,"")</f>
        <v>120.66499994127132</v>
      </c>
      <c r="K46" s="6">
        <f>IF(B46&lt;&gt;0,0.1*E46/B46,0)</f>
        <v>3.0840000000000001</v>
      </c>
      <c r="L46" s="15">
        <f>CDCM!B4179*CDCM!$B143*10</f>
        <v>99991441.983342096</v>
      </c>
      <c r="M46" s="15">
        <f>CDCM!C4179*CDCM!$C143*10</f>
        <v>0</v>
      </c>
      <c r="N46" s="15">
        <f>CDCM!D4179*CDCM!$D143*10</f>
        <v>0</v>
      </c>
      <c r="O46" s="24">
        <f>IF(E46&lt;&gt;0,$L46/E46,"")</f>
        <v>1</v>
      </c>
      <c r="P46" s="24">
        <f>IF(E46&lt;&gt;0,$M46/E46,"")</f>
        <v>0</v>
      </c>
      <c r="Q46" s="24">
        <f>IF(E46&lt;&gt;0,$N46/E46,"")</f>
        <v>0</v>
      </c>
      <c r="R46" s="24">
        <f>IF(D46&lt;&gt;0,$F46/D46,"")</f>
        <v>0.14104338464578206</v>
      </c>
      <c r="S46" s="24">
        <f>IF(D46&lt;&gt;0,$G46/D46,"")</f>
        <v>0</v>
      </c>
      <c r="T46" s="24">
        <f>IF(D46&lt;&gt;0,$H46/D46,"")</f>
        <v>0</v>
      </c>
      <c r="U46" s="10"/>
    </row>
    <row r="47" spans="1:21">
      <c r="A47" s="11" t="s">
        <v>147</v>
      </c>
      <c r="B47" s="15">
        <f>CDCM!B144+CDCM!C144+CDCM!D144</f>
        <v>2870.3349849031706</v>
      </c>
      <c r="C47" s="28">
        <f>CDCM!E144</f>
        <v>893</v>
      </c>
      <c r="D47" s="15">
        <f>0.01*CDCM!F$14*(CDCM!$E4180*CDCM!E144+CDCM!$F4180*CDCM!F144)+10*(CDCM!$B4180*CDCM!B144+CDCM!$C4180*CDCM!C144+CDCM!$D4180*CDCM!D144+CDCM!$G4180*CDCM!G144)</f>
        <v>70547.708783268521</v>
      </c>
      <c r="E47" s="15">
        <f>10*(CDCM!$B4180*CDCM!B144+CDCM!$C4180*CDCM!C144+CDCM!$D4180*CDCM!D144)</f>
        <v>60219.627983268518</v>
      </c>
      <c r="F47" s="15">
        <f>CDCM!E4180*CDCM!$F$14*CDCM!$E144/100</f>
        <v>10328.0808</v>
      </c>
      <c r="G47" s="15">
        <f>CDCM!F4180*CDCM!$F$14*CDCM!$F144/100</f>
        <v>0</v>
      </c>
      <c r="H47" s="15">
        <f>CDCM!G4180*CDCM!$G144*10</f>
        <v>0</v>
      </c>
      <c r="I47" s="6">
        <f>IF(B47&lt;&gt;0,0.1*D47/B47,"")</f>
        <v>2.4578214443373905</v>
      </c>
      <c r="J47" s="30">
        <f>IF(C47&lt;&gt;0,D47/C47,"")</f>
        <v>79.000793710267104</v>
      </c>
      <c r="K47" s="6">
        <f>IF(B47&lt;&gt;0,0.1*E47/B47,0)</f>
        <v>2.0979999999999999</v>
      </c>
      <c r="L47" s="15">
        <f>CDCM!B4180*CDCM!$B144*10</f>
        <v>60219.627983268518</v>
      </c>
      <c r="M47" s="15">
        <f>CDCM!C4180*CDCM!$C144*10</f>
        <v>0</v>
      </c>
      <c r="N47" s="15">
        <f>CDCM!D4180*CDCM!$D144*10</f>
        <v>0</v>
      </c>
      <c r="O47" s="24">
        <f>IF(E47&lt;&gt;0,$L47/E47,"")</f>
        <v>1</v>
      </c>
      <c r="P47" s="24">
        <f>IF(E47&lt;&gt;0,$M47/E47,"")</f>
        <v>0</v>
      </c>
      <c r="Q47" s="24">
        <f>IF(E47&lt;&gt;0,$N47/E47,"")</f>
        <v>0</v>
      </c>
      <c r="R47" s="24">
        <f>IF(D47&lt;&gt;0,$F47/D47,"")</f>
        <v>0.14639852913904219</v>
      </c>
      <c r="S47" s="24">
        <f>IF(D47&lt;&gt;0,$G47/D47,"")</f>
        <v>0</v>
      </c>
      <c r="T47" s="24">
        <f>IF(D47&lt;&gt;0,$H47/D47,"")</f>
        <v>0</v>
      </c>
      <c r="U47" s="10"/>
    </row>
    <row r="48" spans="1:21">
      <c r="A48" s="11" t="s">
        <v>148</v>
      </c>
      <c r="B48" s="15">
        <f>CDCM!B145+CDCM!C145+CDCM!D145</f>
        <v>11376.82714716523</v>
      </c>
      <c r="C48" s="28">
        <f>CDCM!E145</f>
        <v>3843</v>
      </c>
      <c r="D48" s="15">
        <f>0.01*CDCM!F$14*(CDCM!$E4181*CDCM!E145+CDCM!$F4181*CDCM!F145)+10*(CDCM!$B4181*CDCM!B145+CDCM!$C4181*CDCM!C145+CDCM!$D4181*CDCM!D145+CDCM!$G4181*CDCM!G145)</f>
        <v>150481.46109089232</v>
      </c>
      <c r="E48" s="15">
        <f>10*(CDCM!$B4181*CDCM!B145+CDCM!$C4181*CDCM!C145+CDCM!$D4181*CDCM!D145)</f>
        <v>126851.62269089231</v>
      </c>
      <c r="F48" s="15">
        <f>CDCM!E4181*CDCM!$F$14*CDCM!$E145/100</f>
        <v>23629.838399999997</v>
      </c>
      <c r="G48" s="15">
        <f>CDCM!F4181*CDCM!$F$14*CDCM!$F145/100</f>
        <v>0</v>
      </c>
      <c r="H48" s="15">
        <f>CDCM!G4181*CDCM!$G145*10</f>
        <v>0</v>
      </c>
      <c r="I48" s="6">
        <f>IF(B48&lt;&gt;0,0.1*D48/B48,"")</f>
        <v>1.3227014803366146</v>
      </c>
      <c r="J48" s="30">
        <f>IF(C48&lt;&gt;0,D48/C48,"")</f>
        <v>39.157288860497609</v>
      </c>
      <c r="K48" s="6">
        <f>IF(B48&lt;&gt;0,0.1*E48/B48,0)</f>
        <v>1.1150000000000002</v>
      </c>
      <c r="L48" s="15">
        <f>CDCM!B4181*CDCM!$B145*10</f>
        <v>126851.62269089231</v>
      </c>
      <c r="M48" s="15">
        <f>CDCM!C4181*CDCM!$C145*10</f>
        <v>0</v>
      </c>
      <c r="N48" s="15">
        <f>CDCM!D4181*CDCM!$D145*10</f>
        <v>0</v>
      </c>
      <c r="O48" s="24">
        <f>IF(E48&lt;&gt;0,$L48/E48,"")</f>
        <v>1</v>
      </c>
      <c r="P48" s="24">
        <f>IF(E48&lt;&gt;0,$M48/E48,"")</f>
        <v>0</v>
      </c>
      <c r="Q48" s="24">
        <f>IF(E48&lt;&gt;0,$N48/E48,"")</f>
        <v>0</v>
      </c>
      <c r="R48" s="24">
        <f>IF(D48&lt;&gt;0,$F48/D48,"")</f>
        <v>0.15702823609432751</v>
      </c>
      <c r="S48" s="24">
        <f>IF(D48&lt;&gt;0,$G48/D48,"")</f>
        <v>0</v>
      </c>
      <c r="T48" s="24">
        <f>IF(D48&lt;&gt;0,$H48/D48,"")</f>
        <v>0</v>
      </c>
      <c r="U48" s="10"/>
    </row>
    <row r="49" spans="1:21">
      <c r="A49" s="17" t="s">
        <v>149</v>
      </c>
      <c r="U49" s="10"/>
    </row>
    <row r="50" spans="1:21">
      <c r="A50" s="11" t="s">
        <v>93</v>
      </c>
      <c r="B50" s="15">
        <f>CDCM!B147+CDCM!C147+CDCM!D147</f>
        <v>355549.44576370274</v>
      </c>
      <c r="C50" s="28">
        <f>CDCM!E147</f>
        <v>58083</v>
      </c>
      <c r="D50" s="15">
        <f>0.01*CDCM!F$14*(CDCM!$E4183*CDCM!E147+CDCM!$F4183*CDCM!F147)+10*(CDCM!$B4183*CDCM!B147+CDCM!$C4183*CDCM!C147+CDCM!$D4183*CDCM!D147+CDCM!$G4183*CDCM!G147)</f>
        <v>7211345.7735619675</v>
      </c>
      <c r="E50" s="15">
        <f>10*(CDCM!$B4183*CDCM!B147+CDCM!$C4183*CDCM!C147+CDCM!$D4183*CDCM!D147)</f>
        <v>6222831.196561968</v>
      </c>
      <c r="F50" s="15">
        <f>CDCM!E4183*CDCM!$F$14*CDCM!$E147/100</f>
        <v>988514.57700000005</v>
      </c>
      <c r="G50" s="15">
        <f>CDCM!F4183*CDCM!$F$14*CDCM!$F147/100</f>
        <v>0</v>
      </c>
      <c r="H50" s="15">
        <f>CDCM!G4183*CDCM!$G147*10</f>
        <v>0</v>
      </c>
      <c r="I50" s="6">
        <f>IF(B50&lt;&gt;0,0.1*D50/B50,"")</f>
        <v>2.0282258514205673</v>
      </c>
      <c r="J50" s="30">
        <f>IF(C50&lt;&gt;0,D50/C50,"")</f>
        <v>124.15587647955456</v>
      </c>
      <c r="K50" s="6">
        <f>IF(B50&lt;&gt;0,0.1*E50/B50,0)</f>
        <v>1.7502013491247701</v>
      </c>
      <c r="L50" s="15">
        <f>CDCM!B4183*CDCM!$B147*10</f>
        <v>5845164.9438365083</v>
      </c>
      <c r="M50" s="15">
        <f>CDCM!C4183*CDCM!$C147*10</f>
        <v>377666.25272545958</v>
      </c>
      <c r="N50" s="15">
        <f>CDCM!D4183*CDCM!$D147*10</f>
        <v>0</v>
      </c>
      <c r="O50" s="24">
        <f>IF(E50&lt;&gt;0,$L50/E50,"")</f>
        <v>0.9393095777796262</v>
      </c>
      <c r="P50" s="24">
        <f>IF(E50&lt;&gt;0,$M50/E50,"")</f>
        <v>6.0690422220373776E-2</v>
      </c>
      <c r="Q50" s="24">
        <f>IF(E50&lt;&gt;0,$N50/E50,"")</f>
        <v>0</v>
      </c>
      <c r="R50" s="24">
        <f>IF(D50&lt;&gt;0,$F50/D50,"")</f>
        <v>0.13707768397738801</v>
      </c>
      <c r="S50" s="24">
        <f>IF(D50&lt;&gt;0,$G50/D50,"")</f>
        <v>0</v>
      </c>
      <c r="T50" s="24">
        <f>IF(D50&lt;&gt;0,$H50/D50,"")</f>
        <v>0</v>
      </c>
      <c r="U50" s="10"/>
    </row>
    <row r="51" spans="1:21">
      <c r="A51" s="11" t="s">
        <v>150</v>
      </c>
      <c r="B51" s="15">
        <f>CDCM!B148+CDCM!C148+CDCM!D148</f>
        <v>6848.6567218952896</v>
      </c>
      <c r="C51" s="28">
        <f>CDCM!E148</f>
        <v>21</v>
      </c>
      <c r="D51" s="15">
        <f>0.01*CDCM!F$14*(CDCM!$E4184*CDCM!E148+CDCM!$F4184*CDCM!F148)+10*(CDCM!$B4184*CDCM!B148+CDCM!$C4184*CDCM!C148+CDCM!$D4184*CDCM!D148+CDCM!$G4184*CDCM!G148)</f>
        <v>15574.857083653533</v>
      </c>
      <c r="E51" s="15">
        <f>10*(CDCM!$B4184*CDCM!B148+CDCM!$C4184*CDCM!C148+CDCM!$D4184*CDCM!D148)</f>
        <v>15331.979483653533</v>
      </c>
      <c r="F51" s="15">
        <f>CDCM!E4184*CDCM!$F$14*CDCM!$E148/100</f>
        <v>242.87759999999997</v>
      </c>
      <c r="G51" s="15">
        <f>CDCM!F4184*CDCM!$F$14*CDCM!$F148/100</f>
        <v>0</v>
      </c>
      <c r="H51" s="15">
        <f>CDCM!G4184*CDCM!$G148*10</f>
        <v>0</v>
      </c>
      <c r="I51" s="6">
        <f>IF(B51&lt;&gt;0,0.1*D51/B51,"")</f>
        <v>0.22741477221161355</v>
      </c>
      <c r="J51" s="30">
        <f>IF(C51&lt;&gt;0,D51/C51,"")</f>
        <v>741.65986112635869</v>
      </c>
      <c r="K51" s="6">
        <f>IF(B51&lt;&gt;0,0.1*E51/B51,0)</f>
        <v>0.2238684183810366</v>
      </c>
      <c r="L51" s="15">
        <f>CDCM!B4184*CDCM!$B148*10</f>
        <v>5980.328751543384</v>
      </c>
      <c r="M51" s="15">
        <f>CDCM!C4184*CDCM!$C148*10</f>
        <v>9351.650732110149</v>
      </c>
      <c r="N51" s="15">
        <f>CDCM!D4184*CDCM!$D148*10</f>
        <v>0</v>
      </c>
      <c r="O51" s="24">
        <f>IF(E51&lt;&gt;0,$L51/E51,"")</f>
        <v>0.39005588012424747</v>
      </c>
      <c r="P51" s="24">
        <f>IF(E51&lt;&gt;0,$M51/E51,"")</f>
        <v>0.60994411987575259</v>
      </c>
      <c r="Q51" s="24">
        <f>IF(E51&lt;&gt;0,$N51/E51,"")</f>
        <v>0</v>
      </c>
      <c r="R51" s="24">
        <f>IF(D51&lt;&gt;0,$F51/D51,"")</f>
        <v>1.5594210508352607E-2</v>
      </c>
      <c r="S51" s="24">
        <f>IF(D51&lt;&gt;0,$G51/D51,"")</f>
        <v>0</v>
      </c>
      <c r="T51" s="24">
        <f>IF(D51&lt;&gt;0,$H51/D51,"")</f>
        <v>0</v>
      </c>
      <c r="U51" s="10"/>
    </row>
    <row r="52" spans="1:21">
      <c r="A52" s="11" t="s">
        <v>151</v>
      </c>
      <c r="B52" s="15">
        <f>CDCM!B149+CDCM!C149+CDCM!D149</f>
        <v>606.17492757646664</v>
      </c>
      <c r="C52" s="28">
        <f>CDCM!E149</f>
        <v>80</v>
      </c>
      <c r="D52" s="15">
        <f>0.01*CDCM!F$14*(CDCM!$E4185*CDCM!E149+CDCM!$F4185*CDCM!F149)+10*(CDCM!$B4185*CDCM!B149+CDCM!$C4185*CDCM!C149+CDCM!$D4185*CDCM!D149+CDCM!$G4185*CDCM!G149)</f>
        <v>3856.4829928087383</v>
      </c>
      <c r="E52" s="15">
        <f>10*(CDCM!$B4185*CDCM!B149+CDCM!$C4185*CDCM!C149+CDCM!$D4185*CDCM!D149)</f>
        <v>3364.5789928087383</v>
      </c>
      <c r="F52" s="15">
        <f>CDCM!E4185*CDCM!$F$14*CDCM!$E149/100</f>
        <v>491.904</v>
      </c>
      <c r="G52" s="15">
        <f>CDCM!F4185*CDCM!$F$14*CDCM!$F149/100</f>
        <v>0</v>
      </c>
      <c r="H52" s="15">
        <f>CDCM!G4185*CDCM!$G149*10</f>
        <v>0</v>
      </c>
      <c r="I52" s="6">
        <f>IF(B52&lt;&gt;0,0.1*D52/B52,"")</f>
        <v>0.63619968714761099</v>
      </c>
      <c r="J52" s="30">
        <f>IF(C52&lt;&gt;0,D52/C52,"")</f>
        <v>48.206037410109232</v>
      </c>
      <c r="K52" s="6">
        <f>IF(B52&lt;&gt;0,0.1*E52/B52,0)</f>
        <v>0.55505083429639368</v>
      </c>
      <c r="L52" s="15">
        <f>CDCM!B4185*CDCM!$B149*10</f>
        <v>3098.6745206102423</v>
      </c>
      <c r="M52" s="15">
        <f>CDCM!C4185*CDCM!$C149*10</f>
        <v>265.90447219849648</v>
      </c>
      <c r="N52" s="15">
        <f>CDCM!D4185*CDCM!$D149*10</f>
        <v>0</v>
      </c>
      <c r="O52" s="24">
        <f>IF(E52&lt;&gt;0,$L52/E52,"")</f>
        <v>0.92096946668013291</v>
      </c>
      <c r="P52" s="24">
        <f>IF(E52&lt;&gt;0,$M52/E52,"")</f>
        <v>7.9030533319867272E-2</v>
      </c>
      <c r="Q52" s="24">
        <f>IF(E52&lt;&gt;0,$N52/E52,"")</f>
        <v>0</v>
      </c>
      <c r="R52" s="24">
        <f>IF(D52&lt;&gt;0,$F52/D52,"")</f>
        <v>0.12755248782822673</v>
      </c>
      <c r="S52" s="24">
        <f>IF(D52&lt;&gt;0,$G52/D52,"")</f>
        <v>0</v>
      </c>
      <c r="T52" s="24">
        <f>IF(D52&lt;&gt;0,$H52/D52,"")</f>
        <v>0</v>
      </c>
      <c r="U52" s="10"/>
    </row>
    <row r="53" spans="1:21">
      <c r="A53" s="17" t="s">
        <v>152</v>
      </c>
      <c r="U53" s="10"/>
    </row>
    <row r="54" spans="1:21">
      <c r="A54" s="11" t="s">
        <v>129</v>
      </c>
      <c r="B54" s="15">
        <f>CDCM!B151+CDCM!C151+CDCM!D151</f>
        <v>3613.1440975729997</v>
      </c>
      <c r="C54" s="28">
        <f>CDCM!E151</f>
        <v>0</v>
      </c>
      <c r="D54" s="15">
        <f>0.01*CDCM!F$14*(CDCM!$E4187*CDCM!E151+CDCM!$F4187*CDCM!F151)+10*(CDCM!$B4187*CDCM!B151+CDCM!$C4187*CDCM!C151+CDCM!$D4187*CDCM!D151+CDCM!$G4187*CDCM!G151)</f>
        <v>11381.40390735495</v>
      </c>
      <c r="E54" s="15">
        <f>10*(CDCM!$B4187*CDCM!B151+CDCM!$C4187*CDCM!C151+CDCM!$D4187*CDCM!D151)</f>
        <v>11381.40390735495</v>
      </c>
      <c r="F54" s="15">
        <f>CDCM!E4187*CDCM!$F$14*CDCM!$E151/100</f>
        <v>0</v>
      </c>
      <c r="G54" s="15">
        <f>CDCM!F4187*CDCM!$F$14*CDCM!$F151/100</f>
        <v>0</v>
      </c>
      <c r="H54" s="15">
        <f>CDCM!G4187*CDCM!$G151*10</f>
        <v>0</v>
      </c>
      <c r="I54" s="6">
        <f>IF(B54&lt;&gt;0,0.1*D54/B54,"")</f>
        <v>0.315</v>
      </c>
      <c r="J54" s="30" t="str">
        <f>IF(C54&lt;&gt;0,D54/C54,"")</f>
        <v/>
      </c>
      <c r="K54" s="6">
        <f>IF(B54&lt;&gt;0,0.1*E54/B54,0)</f>
        <v>0.315</v>
      </c>
      <c r="L54" s="15">
        <f>CDCM!B4187*CDCM!$B151*10</f>
        <v>11381.40390735495</v>
      </c>
      <c r="M54" s="15">
        <f>CDCM!C4187*CDCM!$C151*10</f>
        <v>0</v>
      </c>
      <c r="N54" s="15">
        <f>CDCM!D4187*CDCM!$D151*10</f>
        <v>0</v>
      </c>
      <c r="O54" s="24">
        <f>IF(E54&lt;&gt;0,$L54/E54,"")</f>
        <v>1</v>
      </c>
      <c r="P54" s="24">
        <f>IF(E54&lt;&gt;0,$M54/E54,"")</f>
        <v>0</v>
      </c>
      <c r="Q54" s="24">
        <f>IF(E54&lt;&gt;0,$N54/E54,"")</f>
        <v>0</v>
      </c>
      <c r="R54" s="24">
        <f>IF(D54&lt;&gt;0,$F54/D54,"")</f>
        <v>0</v>
      </c>
      <c r="S54" s="24">
        <f>IF(D54&lt;&gt;0,$G54/D54,"")</f>
        <v>0</v>
      </c>
      <c r="T54" s="24">
        <f>IF(D54&lt;&gt;0,$H54/D54,"")</f>
        <v>0</v>
      </c>
      <c r="U54" s="10"/>
    </row>
    <row r="55" spans="1:21">
      <c r="A55" s="11" t="s">
        <v>153</v>
      </c>
      <c r="B55" s="15">
        <f>CDCM!B152+CDCM!C152+CDCM!D152</f>
        <v>0</v>
      </c>
      <c r="C55" s="28">
        <f>CDCM!E152</f>
        <v>0</v>
      </c>
      <c r="D55" s="15">
        <f>0.01*CDCM!F$14*(CDCM!$E4188*CDCM!E152+CDCM!$F4188*CDCM!F152)+10*(CDCM!$B4188*CDCM!B152+CDCM!$C4188*CDCM!C152+CDCM!$D4188*CDCM!D152+CDCM!$G4188*CDCM!G152)</f>
        <v>0</v>
      </c>
      <c r="E55" s="15">
        <f>10*(CDCM!$B4188*CDCM!B152+CDCM!$C4188*CDCM!C152+CDCM!$D4188*CDCM!D152)</f>
        <v>0</v>
      </c>
      <c r="F55" s="15">
        <f>CDCM!E4188*CDCM!$F$14*CDCM!$E152/100</f>
        <v>0</v>
      </c>
      <c r="G55" s="15">
        <f>CDCM!F4188*CDCM!$F$14*CDCM!$F152/100</f>
        <v>0</v>
      </c>
      <c r="H55" s="15">
        <f>CDCM!G4188*CDCM!$G152*10</f>
        <v>0</v>
      </c>
      <c r="I55" s="6" t="str">
        <f>IF(B55&lt;&gt;0,0.1*D55/B55,"")</f>
        <v/>
      </c>
      <c r="J55" s="30" t="str">
        <f>IF(C55&lt;&gt;0,D55/C55,"")</f>
        <v/>
      </c>
      <c r="K55" s="6">
        <f>IF(B55&lt;&gt;0,0.1*E55/B55,0)</f>
        <v>0</v>
      </c>
      <c r="L55" s="15">
        <f>CDCM!B4188*CDCM!$B152*10</f>
        <v>0</v>
      </c>
      <c r="M55" s="15">
        <f>CDCM!C4188*CDCM!$C152*10</f>
        <v>0</v>
      </c>
      <c r="N55" s="15">
        <f>CDCM!D4188*CDCM!$D152*10</f>
        <v>0</v>
      </c>
      <c r="O55" s="24" t="str">
        <f>IF(E55&lt;&gt;0,$L55/E55,"")</f>
        <v/>
      </c>
      <c r="P55" s="24" t="str">
        <f>IF(E55&lt;&gt;0,$M55/E55,"")</f>
        <v/>
      </c>
      <c r="Q55" s="24" t="str">
        <f>IF(E55&lt;&gt;0,$N55/E55,"")</f>
        <v/>
      </c>
      <c r="R55" s="24" t="str">
        <f>IF(D55&lt;&gt;0,$F55/D55,"")</f>
        <v/>
      </c>
      <c r="S55" s="24" t="str">
        <f>IF(D55&lt;&gt;0,$G55/D55,"")</f>
        <v/>
      </c>
      <c r="T55" s="24" t="str">
        <f>IF(D55&lt;&gt;0,$H55/D55,"")</f>
        <v/>
      </c>
      <c r="U55" s="10"/>
    </row>
    <row r="56" spans="1:21">
      <c r="A56" s="11" t="s">
        <v>154</v>
      </c>
      <c r="B56" s="15">
        <f>CDCM!B153+CDCM!C153+CDCM!D153</f>
        <v>0</v>
      </c>
      <c r="C56" s="28">
        <f>CDCM!E153</f>
        <v>0</v>
      </c>
      <c r="D56" s="15">
        <f>0.01*CDCM!F$14*(CDCM!$E4189*CDCM!E153+CDCM!$F4189*CDCM!F153)+10*(CDCM!$B4189*CDCM!B153+CDCM!$C4189*CDCM!C153+CDCM!$D4189*CDCM!D153+CDCM!$G4189*CDCM!G153)</f>
        <v>0</v>
      </c>
      <c r="E56" s="15">
        <f>10*(CDCM!$B4189*CDCM!B153+CDCM!$C4189*CDCM!C153+CDCM!$D4189*CDCM!D153)</f>
        <v>0</v>
      </c>
      <c r="F56" s="15">
        <f>CDCM!E4189*CDCM!$F$14*CDCM!$E153/100</f>
        <v>0</v>
      </c>
      <c r="G56" s="15">
        <f>CDCM!F4189*CDCM!$F$14*CDCM!$F153/100</f>
        <v>0</v>
      </c>
      <c r="H56" s="15">
        <f>CDCM!G4189*CDCM!$G153*10</f>
        <v>0</v>
      </c>
      <c r="I56" s="6" t="str">
        <f>IF(B56&lt;&gt;0,0.1*D56/B56,"")</f>
        <v/>
      </c>
      <c r="J56" s="30" t="str">
        <f>IF(C56&lt;&gt;0,D56/C56,"")</f>
        <v/>
      </c>
      <c r="K56" s="6">
        <f>IF(B56&lt;&gt;0,0.1*E56/B56,0)</f>
        <v>0</v>
      </c>
      <c r="L56" s="15">
        <f>CDCM!B4189*CDCM!$B153*10</f>
        <v>0</v>
      </c>
      <c r="M56" s="15">
        <f>CDCM!C4189*CDCM!$C153*10</f>
        <v>0</v>
      </c>
      <c r="N56" s="15">
        <f>CDCM!D4189*CDCM!$D153*10</f>
        <v>0</v>
      </c>
      <c r="O56" s="24" t="str">
        <f>IF(E56&lt;&gt;0,$L56/E56,"")</f>
        <v/>
      </c>
      <c r="P56" s="24" t="str">
        <f>IF(E56&lt;&gt;0,$M56/E56,"")</f>
        <v/>
      </c>
      <c r="Q56" s="24" t="str">
        <f>IF(E56&lt;&gt;0,$N56/E56,"")</f>
        <v/>
      </c>
      <c r="R56" s="24" t="str">
        <f>IF(D56&lt;&gt;0,$F56/D56,"")</f>
        <v/>
      </c>
      <c r="S56" s="24" t="str">
        <f>IF(D56&lt;&gt;0,$G56/D56,"")</f>
        <v/>
      </c>
      <c r="T56" s="24" t="str">
        <f>IF(D56&lt;&gt;0,$H56/D56,"")</f>
        <v/>
      </c>
      <c r="U56" s="10"/>
    </row>
    <row r="57" spans="1:21">
      <c r="A57" s="17" t="s">
        <v>155</v>
      </c>
      <c r="U57" s="10"/>
    </row>
    <row r="58" spans="1:21">
      <c r="A58" s="11" t="s">
        <v>94</v>
      </c>
      <c r="B58" s="15">
        <f>CDCM!B155+CDCM!C155+CDCM!D155</f>
        <v>823197.95863007847</v>
      </c>
      <c r="C58" s="28">
        <f>CDCM!E155</f>
        <v>63787</v>
      </c>
      <c r="D58" s="15">
        <f>0.01*CDCM!F$14*(CDCM!$E4191*CDCM!E155+CDCM!$F4191*CDCM!F155)+10*(CDCM!$B4191*CDCM!B155+CDCM!$C4191*CDCM!C155+CDCM!$D4191*CDCM!D155+CDCM!$G4191*CDCM!G155)</f>
        <v>21796442.960765708</v>
      </c>
      <c r="E58" s="15">
        <f>10*(CDCM!$B4191*CDCM!B155+CDCM!$C4191*CDCM!C155+CDCM!$D4191*CDCM!D155)</f>
        <v>19970782.476365708</v>
      </c>
      <c r="F58" s="15">
        <f>CDCM!E4191*CDCM!$F$14*CDCM!$E155/100</f>
        <v>1825660.4844</v>
      </c>
      <c r="G58" s="15">
        <f>CDCM!F4191*CDCM!$F$14*CDCM!$F155/100</f>
        <v>0</v>
      </c>
      <c r="H58" s="15">
        <f>CDCM!G4191*CDCM!$G155*10</f>
        <v>0</v>
      </c>
      <c r="I58" s="6">
        <f>IF(B58&lt;&gt;0,0.1*D58/B58,"")</f>
        <v>2.6477766049175067</v>
      </c>
      <c r="J58" s="30">
        <f>IF(C58&lt;&gt;0,D58/C58,"")</f>
        <v>341.70666375226472</v>
      </c>
      <c r="K58" s="6">
        <f>IF(B58&lt;&gt;0,0.1*E58/B58,0)</f>
        <v>2.4260000000000006</v>
      </c>
      <c r="L58" s="15">
        <f>CDCM!B4191*CDCM!$B155*10</f>
        <v>19970782.476365708</v>
      </c>
      <c r="M58" s="15">
        <f>CDCM!C4191*CDCM!$C155*10</f>
        <v>0</v>
      </c>
      <c r="N58" s="15">
        <f>CDCM!D4191*CDCM!$D155*10</f>
        <v>0</v>
      </c>
      <c r="O58" s="24">
        <f>IF(E58&lt;&gt;0,$L58/E58,"")</f>
        <v>1</v>
      </c>
      <c r="P58" s="24">
        <f>IF(E58&lt;&gt;0,$M58/E58,"")</f>
        <v>0</v>
      </c>
      <c r="Q58" s="24">
        <f>IF(E58&lt;&gt;0,$N58/E58,"")</f>
        <v>0</v>
      </c>
      <c r="R58" s="24">
        <f>IF(D58&lt;&gt;0,$F58/D58,"")</f>
        <v>8.3759560570788871E-2</v>
      </c>
      <c r="S58" s="24">
        <f>IF(D58&lt;&gt;0,$G58/D58,"")</f>
        <v>0</v>
      </c>
      <c r="T58" s="24">
        <f>IF(D58&lt;&gt;0,$H58/D58,"")</f>
        <v>0</v>
      </c>
      <c r="U58" s="10"/>
    </row>
    <row r="59" spans="1:21">
      <c r="A59" s="11" t="s">
        <v>156</v>
      </c>
      <c r="B59" s="15">
        <f>CDCM!B156+CDCM!C156+CDCM!D156</f>
        <v>56.743614639178105</v>
      </c>
      <c r="C59" s="28">
        <f>CDCM!E156</f>
        <v>4</v>
      </c>
      <c r="D59" s="15">
        <f>0.01*CDCM!F$14*(CDCM!$E4192*CDCM!E156+CDCM!$F4192*CDCM!F156)+10*(CDCM!$B4192*CDCM!B156+CDCM!$C4192*CDCM!C156+CDCM!$D4192*CDCM!D156+CDCM!$G4192*CDCM!G156)</f>
        <v>1014.7218776928305</v>
      </c>
      <c r="E59" s="15">
        <f>10*(CDCM!$B4192*CDCM!B156+CDCM!$C4192*CDCM!C156+CDCM!$D4192*CDCM!D156)</f>
        <v>936.83707769283046</v>
      </c>
      <c r="F59" s="15">
        <f>CDCM!E4192*CDCM!$F$14*CDCM!$E156/100</f>
        <v>77.884799999999998</v>
      </c>
      <c r="G59" s="15">
        <f>CDCM!F4192*CDCM!$F$14*CDCM!$F156/100</f>
        <v>0</v>
      </c>
      <c r="H59" s="15">
        <f>CDCM!G4192*CDCM!$G156*10</f>
        <v>0</v>
      </c>
      <c r="I59" s="6">
        <f>IF(B59&lt;&gt;0,0.1*D59/B59,"")</f>
        <v>1.7882573821658256</v>
      </c>
      <c r="J59" s="30">
        <f>IF(C59&lt;&gt;0,D59/C59,"")</f>
        <v>253.68046942320763</v>
      </c>
      <c r="K59" s="6">
        <f>IF(B59&lt;&gt;0,0.1*E59/B59,0)</f>
        <v>1.6509999999999998</v>
      </c>
      <c r="L59" s="15">
        <f>CDCM!B4192*CDCM!$B156*10</f>
        <v>936.83707769283046</v>
      </c>
      <c r="M59" s="15">
        <f>CDCM!C4192*CDCM!$C156*10</f>
        <v>0</v>
      </c>
      <c r="N59" s="15">
        <f>CDCM!D4192*CDCM!$D156*10</f>
        <v>0</v>
      </c>
      <c r="O59" s="24">
        <f>IF(E59&lt;&gt;0,$L59/E59,"")</f>
        <v>1</v>
      </c>
      <c r="P59" s="24">
        <f>IF(E59&lt;&gt;0,$M59/E59,"")</f>
        <v>0</v>
      </c>
      <c r="Q59" s="24">
        <f>IF(E59&lt;&gt;0,$N59/E59,"")</f>
        <v>0</v>
      </c>
      <c r="R59" s="24">
        <f>IF(D59&lt;&gt;0,$F59/D59,"")</f>
        <v>7.6754824856133372E-2</v>
      </c>
      <c r="S59" s="24">
        <f>IF(D59&lt;&gt;0,$G59/D59,"")</f>
        <v>0</v>
      </c>
      <c r="T59" s="24">
        <f>IF(D59&lt;&gt;0,$H59/D59,"")</f>
        <v>0</v>
      </c>
      <c r="U59" s="10"/>
    </row>
    <row r="60" spans="1:21">
      <c r="A60" s="11" t="s">
        <v>157</v>
      </c>
      <c r="B60" s="15">
        <f>CDCM!B157+CDCM!C157+CDCM!D157</f>
        <v>2717.0896874333912</v>
      </c>
      <c r="C60" s="28">
        <f>CDCM!E157</f>
        <v>110</v>
      </c>
      <c r="D60" s="15">
        <f>0.01*CDCM!F$14*(CDCM!$E4193*CDCM!E157+CDCM!$F4193*CDCM!F157)+10*(CDCM!$B4193*CDCM!B157+CDCM!$C4193*CDCM!C157+CDCM!$D4193*CDCM!D157+CDCM!$G4193*CDCM!G157)</f>
        <v>24968.234558790838</v>
      </c>
      <c r="E60" s="15">
        <f>10*(CDCM!$B4193*CDCM!B157+CDCM!$C4193*CDCM!C157+CDCM!$D4193*CDCM!D157)</f>
        <v>23828.876558790838</v>
      </c>
      <c r="F60" s="15">
        <f>CDCM!E4193*CDCM!$F$14*CDCM!$E157/100</f>
        <v>1139.3579999999999</v>
      </c>
      <c r="G60" s="15">
        <f>CDCM!F4193*CDCM!$F$14*CDCM!$F157/100</f>
        <v>0</v>
      </c>
      <c r="H60" s="15">
        <f>CDCM!G4193*CDCM!$G157*10</f>
        <v>0</v>
      </c>
      <c r="I60" s="6">
        <f>IF(B60&lt;&gt;0,0.1*D60/B60,"")</f>
        <v>0.91893302875755478</v>
      </c>
      <c r="J60" s="30">
        <f>IF(C60&lt;&gt;0,D60/C60,"")</f>
        <v>226.98395053446217</v>
      </c>
      <c r="K60" s="6">
        <f>IF(B60&lt;&gt;0,0.1*E60/B60,0)</f>
        <v>0.87699999999999989</v>
      </c>
      <c r="L60" s="15">
        <f>CDCM!B4193*CDCM!$B157*10</f>
        <v>23828.876558790838</v>
      </c>
      <c r="M60" s="15">
        <f>CDCM!C4193*CDCM!$C157*10</f>
        <v>0</v>
      </c>
      <c r="N60" s="15">
        <f>CDCM!D4193*CDCM!$D157*10</f>
        <v>0</v>
      </c>
      <c r="O60" s="24">
        <f>IF(E60&lt;&gt;0,$L60/E60,"")</f>
        <v>1</v>
      </c>
      <c r="P60" s="24">
        <f>IF(E60&lt;&gt;0,$M60/E60,"")</f>
        <v>0</v>
      </c>
      <c r="Q60" s="24">
        <f>IF(E60&lt;&gt;0,$N60/E60,"")</f>
        <v>0</v>
      </c>
      <c r="R60" s="24">
        <f>IF(D60&lt;&gt;0,$F60/D60,"")</f>
        <v>4.5632301207249502E-2</v>
      </c>
      <c r="S60" s="24">
        <f>IF(D60&lt;&gt;0,$G60/D60,"")</f>
        <v>0</v>
      </c>
      <c r="T60" s="24">
        <f>IF(D60&lt;&gt;0,$H60/D60,"")</f>
        <v>0</v>
      </c>
      <c r="U60" s="10"/>
    </row>
    <row r="61" spans="1:21">
      <c r="A61" s="17" t="s">
        <v>158</v>
      </c>
      <c r="U61" s="10"/>
    </row>
    <row r="62" spans="1:21">
      <c r="A62" s="11" t="s">
        <v>95</v>
      </c>
      <c r="B62" s="15">
        <f>CDCM!B159+CDCM!C159+CDCM!D159</f>
        <v>299626.94688777835</v>
      </c>
      <c r="C62" s="28">
        <f>CDCM!E159</f>
        <v>13441</v>
      </c>
      <c r="D62" s="15">
        <f>0.01*CDCM!F$14*(CDCM!$E4195*CDCM!E159+CDCM!$F4195*CDCM!F159)+10*(CDCM!$B4195*CDCM!B159+CDCM!$C4195*CDCM!C159+CDCM!$D4195*CDCM!D159+CDCM!$G4195*CDCM!G159)</f>
        <v>7096942.2867093207</v>
      </c>
      <c r="E62" s="15">
        <f>10*(CDCM!$B4195*CDCM!B159+CDCM!$C4195*CDCM!C159+CDCM!$D4195*CDCM!D159)</f>
        <v>6712244.7375093205</v>
      </c>
      <c r="F62" s="15">
        <f>CDCM!E4195*CDCM!$F$14*CDCM!$E159/100</f>
        <v>384697.54920000001</v>
      </c>
      <c r="G62" s="15">
        <f>CDCM!F4195*CDCM!$F$14*CDCM!$F159/100</f>
        <v>0</v>
      </c>
      <c r="H62" s="15">
        <f>CDCM!G4195*CDCM!$G159*10</f>
        <v>0</v>
      </c>
      <c r="I62" s="6">
        <f>IF(B62&lt;&gt;0,0.1*D62/B62,"")</f>
        <v>2.3685927986201438</v>
      </c>
      <c r="J62" s="30">
        <f>IF(C62&lt;&gt;0,D62/C62,"")</f>
        <v>528.00701485821889</v>
      </c>
      <c r="K62" s="6">
        <f>IF(B62&lt;&gt;0,0.1*E62/B62,0)</f>
        <v>2.240200625220572</v>
      </c>
      <c r="L62" s="15">
        <f>CDCM!B4195*CDCM!$B159*10</f>
        <v>6462544.0414710212</v>
      </c>
      <c r="M62" s="15">
        <f>CDCM!C4195*CDCM!$C159*10</f>
        <v>249700.69603829837</v>
      </c>
      <c r="N62" s="15">
        <f>CDCM!D4195*CDCM!$D159*10</f>
        <v>0</v>
      </c>
      <c r="O62" s="24">
        <f>IF(E62&lt;&gt;0,$L62/E62,"")</f>
        <v>0.96279922651763228</v>
      </c>
      <c r="P62" s="24">
        <f>IF(E62&lt;&gt;0,$M62/E62,"")</f>
        <v>3.7200773482367624E-2</v>
      </c>
      <c r="Q62" s="24">
        <f>IF(E62&lt;&gt;0,$N62/E62,"")</f>
        <v>0</v>
      </c>
      <c r="R62" s="24">
        <f>IF(D62&lt;&gt;0,$F62/D62,"")</f>
        <v>5.4206098014976938E-2</v>
      </c>
      <c r="S62" s="24">
        <f>IF(D62&lt;&gt;0,$G62/D62,"")</f>
        <v>0</v>
      </c>
      <c r="T62" s="24">
        <f>IF(D62&lt;&gt;0,$H62/D62,"")</f>
        <v>0</v>
      </c>
      <c r="U62" s="10"/>
    </row>
    <row r="63" spans="1:21">
      <c r="A63" s="11" t="s">
        <v>159</v>
      </c>
      <c r="B63" s="15">
        <f>CDCM!B160+CDCM!C160+CDCM!D160</f>
        <v>0</v>
      </c>
      <c r="C63" s="28">
        <f>CDCM!E160</f>
        <v>0</v>
      </c>
      <c r="D63" s="15">
        <f>0.01*CDCM!F$14*(CDCM!$E4196*CDCM!E160+CDCM!$F4196*CDCM!F160)+10*(CDCM!$B4196*CDCM!B160+CDCM!$C4196*CDCM!C160+CDCM!$D4196*CDCM!D160+CDCM!$G4196*CDCM!G160)</f>
        <v>0</v>
      </c>
      <c r="E63" s="15">
        <f>10*(CDCM!$B4196*CDCM!B160+CDCM!$C4196*CDCM!C160+CDCM!$D4196*CDCM!D160)</f>
        <v>0</v>
      </c>
      <c r="F63" s="15">
        <f>CDCM!E4196*CDCM!$F$14*CDCM!$E160/100</f>
        <v>0</v>
      </c>
      <c r="G63" s="15">
        <f>CDCM!F4196*CDCM!$F$14*CDCM!$F160/100</f>
        <v>0</v>
      </c>
      <c r="H63" s="15">
        <f>CDCM!G4196*CDCM!$G160*10</f>
        <v>0</v>
      </c>
      <c r="I63" s="6" t="str">
        <f>IF(B63&lt;&gt;0,0.1*D63/B63,"")</f>
        <v/>
      </c>
      <c r="J63" s="30" t="str">
        <f>IF(C63&lt;&gt;0,D63/C63,"")</f>
        <v/>
      </c>
      <c r="K63" s="6">
        <f>IF(B63&lt;&gt;0,0.1*E63/B63,0)</f>
        <v>0</v>
      </c>
      <c r="L63" s="15">
        <f>CDCM!B4196*CDCM!$B160*10</f>
        <v>0</v>
      </c>
      <c r="M63" s="15">
        <f>CDCM!C4196*CDCM!$C160*10</f>
        <v>0</v>
      </c>
      <c r="N63" s="15">
        <f>CDCM!D4196*CDCM!$D160*10</f>
        <v>0</v>
      </c>
      <c r="O63" s="24" t="str">
        <f>IF(E63&lt;&gt;0,$L63/E63,"")</f>
        <v/>
      </c>
      <c r="P63" s="24" t="str">
        <f>IF(E63&lt;&gt;0,$M63/E63,"")</f>
        <v/>
      </c>
      <c r="Q63" s="24" t="str">
        <f>IF(E63&lt;&gt;0,$N63/E63,"")</f>
        <v/>
      </c>
      <c r="R63" s="24" t="str">
        <f>IF(D63&lt;&gt;0,$F63/D63,"")</f>
        <v/>
      </c>
      <c r="S63" s="24" t="str">
        <f>IF(D63&lt;&gt;0,$G63/D63,"")</f>
        <v/>
      </c>
      <c r="T63" s="24" t="str">
        <f>IF(D63&lt;&gt;0,$H63/D63,"")</f>
        <v/>
      </c>
      <c r="U63" s="10"/>
    </row>
    <row r="64" spans="1:21">
      <c r="A64" s="11" t="s">
        <v>160</v>
      </c>
      <c r="B64" s="15">
        <f>CDCM!B161+CDCM!C161+CDCM!D161</f>
        <v>955.72580301869243</v>
      </c>
      <c r="C64" s="28">
        <f>CDCM!E161</f>
        <v>9</v>
      </c>
      <c r="D64" s="15">
        <f>0.01*CDCM!F$14*(CDCM!$E4197*CDCM!E161+CDCM!$F4197*CDCM!F161)+10*(CDCM!$B4197*CDCM!B161+CDCM!$C4197*CDCM!C161+CDCM!$D4197*CDCM!D161+CDCM!$G4197*CDCM!G161)</f>
        <v>9753.4763361480673</v>
      </c>
      <c r="E64" s="15">
        <f>10*(CDCM!$B4197*CDCM!B161+CDCM!$C4197*CDCM!C161+CDCM!$D4197*CDCM!D161)</f>
        <v>9660.2561361480675</v>
      </c>
      <c r="F64" s="15">
        <f>CDCM!E4197*CDCM!$F$14*CDCM!$E161/100</f>
        <v>93.220200000000006</v>
      </c>
      <c r="G64" s="15">
        <f>CDCM!F4197*CDCM!$F$14*CDCM!$F161/100</f>
        <v>0</v>
      </c>
      <c r="H64" s="15">
        <f>CDCM!G4197*CDCM!$G161*10</f>
        <v>0</v>
      </c>
      <c r="I64" s="6">
        <f>IF(B64&lt;&gt;0,0.1*D64/B64,"")</f>
        <v>1.0205308159873241</v>
      </c>
      <c r="J64" s="30">
        <f>IF(C64&lt;&gt;0,D64/C64,"")</f>
        <v>1083.7195929053407</v>
      </c>
      <c r="K64" s="6">
        <f>IF(B64&lt;&gt;0,0.1*E64/B64,0)</f>
        <v>1.010776951468279</v>
      </c>
      <c r="L64" s="15">
        <f>CDCM!B4197*CDCM!$B161*10</f>
        <v>9553.260775564886</v>
      </c>
      <c r="M64" s="15">
        <f>CDCM!C4197*CDCM!$C161*10</f>
        <v>106.99536058318124</v>
      </c>
      <c r="N64" s="15">
        <f>CDCM!D4197*CDCM!$D161*10</f>
        <v>0</v>
      </c>
      <c r="O64" s="24">
        <f>IF(E64&lt;&gt;0,$L64/E64,"")</f>
        <v>0.98892416939310634</v>
      </c>
      <c r="P64" s="24">
        <f>IF(E64&lt;&gt;0,$M64/E64,"")</f>
        <v>1.1075830606893679E-2</v>
      </c>
      <c r="Q64" s="24">
        <f>IF(E64&lt;&gt;0,$N64/E64,"")</f>
        <v>0</v>
      </c>
      <c r="R64" s="24">
        <f>IF(D64&lt;&gt;0,$F64/D64,"")</f>
        <v>9.5576384037053385E-3</v>
      </c>
      <c r="S64" s="24">
        <f>IF(D64&lt;&gt;0,$G64/D64,"")</f>
        <v>0</v>
      </c>
      <c r="T64" s="24">
        <f>IF(D64&lt;&gt;0,$H64/D64,"")</f>
        <v>0</v>
      </c>
      <c r="U64" s="10"/>
    </row>
    <row r="65" spans="1:21">
      <c r="A65" s="17" t="s">
        <v>161</v>
      </c>
      <c r="U65" s="10"/>
    </row>
    <row r="66" spans="1:21">
      <c r="A66" s="11" t="s">
        <v>130</v>
      </c>
      <c r="B66" s="15">
        <f>CDCM!B163+CDCM!C163+CDCM!D163</f>
        <v>2262.2093594051807</v>
      </c>
      <c r="C66" s="28">
        <f>CDCM!E163</f>
        <v>0</v>
      </c>
      <c r="D66" s="15">
        <f>0.01*CDCM!F$14*(CDCM!$E4199*CDCM!E163+CDCM!$F4199*CDCM!F163)+10*(CDCM!$B4199*CDCM!B163+CDCM!$C4199*CDCM!C163+CDCM!$D4199*CDCM!D163+CDCM!$G4199*CDCM!G163)</f>
        <v>7374.8025116608896</v>
      </c>
      <c r="E66" s="15">
        <f>10*(CDCM!$B4199*CDCM!B163+CDCM!$C4199*CDCM!C163+CDCM!$D4199*CDCM!D163)</f>
        <v>7374.8025116608896</v>
      </c>
      <c r="F66" s="15">
        <f>CDCM!E4199*CDCM!$F$14*CDCM!$E163/100</f>
        <v>0</v>
      </c>
      <c r="G66" s="15">
        <f>CDCM!F4199*CDCM!$F$14*CDCM!$F163/100</f>
        <v>0</v>
      </c>
      <c r="H66" s="15">
        <f>CDCM!G4199*CDCM!$G163*10</f>
        <v>0</v>
      </c>
      <c r="I66" s="6">
        <f>IF(B66&lt;&gt;0,0.1*D66/B66,"")</f>
        <v>0.32600000000000007</v>
      </c>
      <c r="J66" s="30" t="str">
        <f>IF(C66&lt;&gt;0,D66/C66,"")</f>
        <v/>
      </c>
      <c r="K66" s="6">
        <f>IF(B66&lt;&gt;0,0.1*E66/B66,0)</f>
        <v>0.32600000000000007</v>
      </c>
      <c r="L66" s="15">
        <f>CDCM!B4199*CDCM!$B163*10</f>
        <v>7374.8025116608896</v>
      </c>
      <c r="M66" s="15">
        <f>CDCM!C4199*CDCM!$C163*10</f>
        <v>0</v>
      </c>
      <c r="N66" s="15">
        <f>CDCM!D4199*CDCM!$D163*10</f>
        <v>0</v>
      </c>
      <c r="O66" s="24">
        <f>IF(E66&lt;&gt;0,$L66/E66,"")</f>
        <v>1</v>
      </c>
      <c r="P66" s="24">
        <f>IF(E66&lt;&gt;0,$M66/E66,"")</f>
        <v>0</v>
      </c>
      <c r="Q66" s="24">
        <f>IF(E66&lt;&gt;0,$N66/E66,"")</f>
        <v>0</v>
      </c>
      <c r="R66" s="24">
        <f>IF(D66&lt;&gt;0,$F66/D66,"")</f>
        <v>0</v>
      </c>
      <c r="S66" s="24">
        <f>IF(D66&lt;&gt;0,$G66/D66,"")</f>
        <v>0</v>
      </c>
      <c r="T66" s="24">
        <f>IF(D66&lt;&gt;0,$H66/D66,"")</f>
        <v>0</v>
      </c>
      <c r="U66" s="10"/>
    </row>
    <row r="67" spans="1:21" ht="30">
      <c r="A67" s="11" t="s">
        <v>162</v>
      </c>
      <c r="B67" s="15">
        <f>CDCM!B164+CDCM!C164+CDCM!D164</f>
        <v>0</v>
      </c>
      <c r="C67" s="28">
        <f>CDCM!E164</f>
        <v>0</v>
      </c>
      <c r="D67" s="15">
        <f>0.01*CDCM!F$14*(CDCM!$E4200*CDCM!E164+CDCM!$F4200*CDCM!F164)+10*(CDCM!$B4200*CDCM!B164+CDCM!$C4200*CDCM!C164+CDCM!$D4200*CDCM!D164+CDCM!$G4200*CDCM!G164)</f>
        <v>0</v>
      </c>
      <c r="E67" s="15">
        <f>10*(CDCM!$B4200*CDCM!B164+CDCM!$C4200*CDCM!C164+CDCM!$D4200*CDCM!D164)</f>
        <v>0</v>
      </c>
      <c r="F67" s="15">
        <f>CDCM!E4200*CDCM!$F$14*CDCM!$E164/100</f>
        <v>0</v>
      </c>
      <c r="G67" s="15">
        <f>CDCM!F4200*CDCM!$F$14*CDCM!$F164/100</f>
        <v>0</v>
      </c>
      <c r="H67" s="15">
        <f>CDCM!G4200*CDCM!$G164*10</f>
        <v>0</v>
      </c>
      <c r="I67" s="6" t="str">
        <f>IF(B67&lt;&gt;0,0.1*D67/B67,"")</f>
        <v/>
      </c>
      <c r="J67" s="30" t="str">
        <f>IF(C67&lt;&gt;0,D67/C67,"")</f>
        <v/>
      </c>
      <c r="K67" s="6">
        <f>IF(B67&lt;&gt;0,0.1*E67/B67,0)</f>
        <v>0</v>
      </c>
      <c r="L67" s="15">
        <f>CDCM!B4200*CDCM!$B164*10</f>
        <v>0</v>
      </c>
      <c r="M67" s="15">
        <f>CDCM!C4200*CDCM!$C164*10</f>
        <v>0</v>
      </c>
      <c r="N67" s="15">
        <f>CDCM!D4200*CDCM!$D164*10</f>
        <v>0</v>
      </c>
      <c r="O67" s="24" t="str">
        <f>IF(E67&lt;&gt;0,$L67/E67,"")</f>
        <v/>
      </c>
      <c r="P67" s="24" t="str">
        <f>IF(E67&lt;&gt;0,$M67/E67,"")</f>
        <v/>
      </c>
      <c r="Q67" s="24" t="str">
        <f>IF(E67&lt;&gt;0,$N67/E67,"")</f>
        <v/>
      </c>
      <c r="R67" s="24" t="str">
        <f>IF(D67&lt;&gt;0,$F67/D67,"")</f>
        <v/>
      </c>
      <c r="S67" s="24" t="str">
        <f>IF(D67&lt;&gt;0,$G67/D67,"")</f>
        <v/>
      </c>
      <c r="T67" s="24" t="str">
        <f>IF(D67&lt;&gt;0,$H67/D67,"")</f>
        <v/>
      </c>
      <c r="U67" s="10"/>
    </row>
    <row r="68" spans="1:21" ht="30">
      <c r="A68" s="11" t="s">
        <v>163</v>
      </c>
      <c r="B68" s="15">
        <f>CDCM!B165+CDCM!C165+CDCM!D165</f>
        <v>0</v>
      </c>
      <c r="C68" s="28">
        <f>CDCM!E165</f>
        <v>0</v>
      </c>
      <c r="D68" s="15">
        <f>0.01*CDCM!F$14*(CDCM!$E4201*CDCM!E165+CDCM!$F4201*CDCM!F165)+10*(CDCM!$B4201*CDCM!B165+CDCM!$C4201*CDCM!C165+CDCM!$D4201*CDCM!D165+CDCM!$G4201*CDCM!G165)</f>
        <v>0</v>
      </c>
      <c r="E68" s="15">
        <f>10*(CDCM!$B4201*CDCM!B165+CDCM!$C4201*CDCM!C165+CDCM!$D4201*CDCM!D165)</f>
        <v>0</v>
      </c>
      <c r="F68" s="15">
        <f>CDCM!E4201*CDCM!$F$14*CDCM!$E165/100</f>
        <v>0</v>
      </c>
      <c r="G68" s="15">
        <f>CDCM!F4201*CDCM!$F$14*CDCM!$F165/100</f>
        <v>0</v>
      </c>
      <c r="H68" s="15">
        <f>CDCM!G4201*CDCM!$G165*10</f>
        <v>0</v>
      </c>
      <c r="I68" s="6" t="str">
        <f>IF(B68&lt;&gt;0,0.1*D68/B68,"")</f>
        <v/>
      </c>
      <c r="J68" s="30" t="str">
        <f>IF(C68&lt;&gt;0,D68/C68,"")</f>
        <v/>
      </c>
      <c r="K68" s="6">
        <f>IF(B68&lt;&gt;0,0.1*E68/B68,0)</f>
        <v>0</v>
      </c>
      <c r="L68" s="15">
        <f>CDCM!B4201*CDCM!$B165*10</f>
        <v>0</v>
      </c>
      <c r="M68" s="15">
        <f>CDCM!C4201*CDCM!$C165*10</f>
        <v>0</v>
      </c>
      <c r="N68" s="15">
        <f>CDCM!D4201*CDCM!$D165*10</f>
        <v>0</v>
      </c>
      <c r="O68" s="24" t="str">
        <f>IF(E68&lt;&gt;0,$L68/E68,"")</f>
        <v/>
      </c>
      <c r="P68" s="24" t="str">
        <f>IF(E68&lt;&gt;0,$M68/E68,"")</f>
        <v/>
      </c>
      <c r="Q68" s="24" t="str">
        <f>IF(E68&lt;&gt;0,$N68/E68,"")</f>
        <v/>
      </c>
      <c r="R68" s="24" t="str">
        <f>IF(D68&lt;&gt;0,$F68/D68,"")</f>
        <v/>
      </c>
      <c r="S68" s="24" t="str">
        <f>IF(D68&lt;&gt;0,$G68/D68,"")</f>
        <v/>
      </c>
      <c r="T68" s="24" t="str">
        <f>IF(D68&lt;&gt;0,$H68/D68,"")</f>
        <v/>
      </c>
      <c r="U68" s="10"/>
    </row>
    <row r="69" spans="1:21">
      <c r="A69" s="17" t="s">
        <v>164</v>
      </c>
      <c r="U69" s="10"/>
    </row>
    <row r="70" spans="1:21">
      <c r="A70" s="11" t="s">
        <v>96</v>
      </c>
      <c r="B70" s="15">
        <f>CDCM!B167+CDCM!C167+CDCM!D167</f>
        <v>479754.31090142363</v>
      </c>
      <c r="C70" s="28">
        <f>CDCM!E167</f>
        <v>4728</v>
      </c>
      <c r="D70" s="15">
        <f>0.01*CDCM!F$14*(CDCM!$E4203*CDCM!E167+CDCM!$F4203*CDCM!F167)+10*(CDCM!$B4203*CDCM!B167+CDCM!$C4203*CDCM!C167+CDCM!$D4203*CDCM!D167+CDCM!$G4203*CDCM!G167)</f>
        <v>12015816.304509683</v>
      </c>
      <c r="E70" s="15">
        <f>10*(CDCM!$B4203*CDCM!B167+CDCM!$C4203*CDCM!C167+CDCM!$D4203*CDCM!D167)</f>
        <v>11230885.091709683</v>
      </c>
      <c r="F70" s="15">
        <f>CDCM!E4203*CDCM!$F$14*CDCM!$E167/100</f>
        <v>784931.21279999986</v>
      </c>
      <c r="G70" s="15">
        <f>CDCM!F4203*CDCM!$F$14*CDCM!$F167/100</f>
        <v>0</v>
      </c>
      <c r="H70" s="15">
        <f>CDCM!G4203*CDCM!$G167*10</f>
        <v>0</v>
      </c>
      <c r="I70" s="6">
        <f>IF(B70&lt;&gt;0,0.1*D70/B70,"")</f>
        <v>2.5045770369280964</v>
      </c>
      <c r="J70" s="30">
        <f>IF(C70&lt;&gt;0,D70/C70,"")</f>
        <v>2541.4163080604235</v>
      </c>
      <c r="K70" s="6">
        <f>IF(B70&lt;&gt;0,0.1*E70/B70,0)</f>
        <v>2.34096595622198</v>
      </c>
      <c r="L70" s="15">
        <f>CDCM!B4203*CDCM!$B167*10</f>
        <v>11069052.535194725</v>
      </c>
      <c r="M70" s="15">
        <f>CDCM!C4203*CDCM!$C167*10</f>
        <v>161832.5565149578</v>
      </c>
      <c r="N70" s="15">
        <f>CDCM!D4203*CDCM!$D167*10</f>
        <v>0</v>
      </c>
      <c r="O70" s="24">
        <f>IF(E70&lt;&gt;0,$L70/E70,"")</f>
        <v>0.98559040047213931</v>
      </c>
      <c r="P70" s="24">
        <f>IF(E70&lt;&gt;0,$M70/E70,"")</f>
        <v>1.4409599527860717E-2</v>
      </c>
      <c r="Q70" s="24">
        <f>IF(E70&lt;&gt;0,$N70/E70,"")</f>
        <v>0</v>
      </c>
      <c r="R70" s="24">
        <f>IF(D70&lt;&gt;0,$F70/D70,"")</f>
        <v>6.5324834610313215E-2</v>
      </c>
      <c r="S70" s="24">
        <f>IF(D70&lt;&gt;0,$G70/D70,"")</f>
        <v>0</v>
      </c>
      <c r="T70" s="24">
        <f>IF(D70&lt;&gt;0,$H70/D70,"")</f>
        <v>0</v>
      </c>
      <c r="U70" s="10"/>
    </row>
    <row r="71" spans="1:21">
      <c r="A71" s="11" t="s">
        <v>165</v>
      </c>
      <c r="B71" s="15">
        <f>CDCM!B168+CDCM!C168+CDCM!D168</f>
        <v>0</v>
      </c>
      <c r="C71" s="28">
        <f>CDCM!E168</f>
        <v>0</v>
      </c>
      <c r="D71" s="15">
        <f>0.01*CDCM!F$14*(CDCM!$E4204*CDCM!E168+CDCM!$F4204*CDCM!F168)+10*(CDCM!$B4204*CDCM!B168+CDCM!$C4204*CDCM!C168+CDCM!$D4204*CDCM!D168+CDCM!$G4204*CDCM!G168)</f>
        <v>0</v>
      </c>
      <c r="E71" s="15">
        <f>10*(CDCM!$B4204*CDCM!B168+CDCM!$C4204*CDCM!C168+CDCM!$D4204*CDCM!D168)</f>
        <v>0</v>
      </c>
      <c r="F71" s="15">
        <f>CDCM!E4204*CDCM!$F$14*CDCM!$E168/100</f>
        <v>0</v>
      </c>
      <c r="G71" s="15">
        <f>CDCM!F4204*CDCM!$F$14*CDCM!$F168/100</f>
        <v>0</v>
      </c>
      <c r="H71" s="15">
        <f>CDCM!G4204*CDCM!$G168*10</f>
        <v>0</v>
      </c>
      <c r="I71" s="6" t="str">
        <f>IF(B71&lt;&gt;0,0.1*D71/B71,"")</f>
        <v/>
      </c>
      <c r="J71" s="30" t="str">
        <f>IF(C71&lt;&gt;0,D71/C71,"")</f>
        <v/>
      </c>
      <c r="K71" s="6">
        <f>IF(B71&lt;&gt;0,0.1*E71/B71,0)</f>
        <v>0</v>
      </c>
      <c r="L71" s="15">
        <f>CDCM!B4204*CDCM!$B168*10</f>
        <v>0</v>
      </c>
      <c r="M71" s="15">
        <f>CDCM!C4204*CDCM!$C168*10</f>
        <v>0</v>
      </c>
      <c r="N71" s="15">
        <f>CDCM!D4204*CDCM!$D168*10</f>
        <v>0</v>
      </c>
      <c r="O71" s="24" t="str">
        <f>IF(E71&lt;&gt;0,$L71/E71,"")</f>
        <v/>
      </c>
      <c r="P71" s="24" t="str">
        <f>IF(E71&lt;&gt;0,$M71/E71,"")</f>
        <v/>
      </c>
      <c r="Q71" s="24" t="str">
        <f>IF(E71&lt;&gt;0,$N71/E71,"")</f>
        <v/>
      </c>
      <c r="R71" s="24" t="str">
        <f>IF(D71&lt;&gt;0,$F71/D71,"")</f>
        <v/>
      </c>
      <c r="S71" s="24" t="str">
        <f>IF(D71&lt;&gt;0,$G71/D71,"")</f>
        <v/>
      </c>
      <c r="T71" s="24" t="str">
        <f>IF(D71&lt;&gt;0,$H71/D71,"")</f>
        <v/>
      </c>
      <c r="U71" s="10"/>
    </row>
    <row r="72" spans="1:21">
      <c r="A72" s="11" t="s">
        <v>166</v>
      </c>
      <c r="B72" s="15">
        <f>CDCM!B169+CDCM!C169+CDCM!D169</f>
        <v>1239.299071879452</v>
      </c>
      <c r="C72" s="28">
        <f>CDCM!E169</f>
        <v>10</v>
      </c>
      <c r="D72" s="15">
        <f>0.01*CDCM!F$14*(CDCM!$E4205*CDCM!E169+CDCM!$F4205*CDCM!F169)+10*(CDCM!$B4205*CDCM!B169+CDCM!$C4205*CDCM!C169+CDCM!$D4205*CDCM!D169+CDCM!$G4205*CDCM!G169)</f>
        <v>12221.156623743835</v>
      </c>
      <c r="E72" s="15">
        <f>10*(CDCM!$B4205*CDCM!B169+CDCM!$C4205*CDCM!C169+CDCM!$D4205*CDCM!D169)</f>
        <v>11620.916623743835</v>
      </c>
      <c r="F72" s="15">
        <f>CDCM!E4205*CDCM!$F$14*CDCM!$E169/100</f>
        <v>600.24</v>
      </c>
      <c r="G72" s="15">
        <f>CDCM!F4205*CDCM!$F$14*CDCM!$F169/100</f>
        <v>0</v>
      </c>
      <c r="H72" s="15">
        <f>CDCM!G4205*CDCM!$G169*10</f>
        <v>0</v>
      </c>
      <c r="I72" s="6">
        <f>IF(B72&lt;&gt;0,0.1*D72/B72,"")</f>
        <v>0.98613457405482507</v>
      </c>
      <c r="J72" s="30">
        <f>IF(C72&lt;&gt;0,D72/C72,"")</f>
        <v>1222.1156623743834</v>
      </c>
      <c r="K72" s="6">
        <f>IF(B72&lt;&gt;0,0.1*E72/B72,0)</f>
        <v>0.93770074451199259</v>
      </c>
      <c r="L72" s="15">
        <f>CDCM!B4205*CDCM!$B169*10</f>
        <v>11535.452864911604</v>
      </c>
      <c r="M72" s="15">
        <f>CDCM!C4205*CDCM!$C169*10</f>
        <v>85.463758832230951</v>
      </c>
      <c r="N72" s="15">
        <f>CDCM!D4205*CDCM!$D169*10</f>
        <v>0</v>
      </c>
      <c r="O72" s="24">
        <f>IF(E72&lt;&gt;0,$L72/E72,"")</f>
        <v>0.99264569555058924</v>
      </c>
      <c r="P72" s="24">
        <f>IF(E72&lt;&gt;0,$M72/E72,"")</f>
        <v>7.3543044494107776E-3</v>
      </c>
      <c r="Q72" s="24">
        <f>IF(E72&lt;&gt;0,$N72/E72,"")</f>
        <v>0</v>
      </c>
      <c r="R72" s="24">
        <f>IF(D72&lt;&gt;0,$F72/D72,"")</f>
        <v>4.9114827546995483E-2</v>
      </c>
      <c r="S72" s="24">
        <f>IF(D72&lt;&gt;0,$G72/D72,"")</f>
        <v>0</v>
      </c>
      <c r="T72" s="24">
        <f>IF(D72&lt;&gt;0,$H72/D72,"")</f>
        <v>0</v>
      </c>
      <c r="U72" s="10"/>
    </row>
    <row r="73" spans="1:21">
      <c r="A73" s="17" t="s">
        <v>167</v>
      </c>
      <c r="U73" s="10"/>
    </row>
    <row r="74" spans="1:21">
      <c r="A74" s="11" t="s">
        <v>97</v>
      </c>
      <c r="B74" s="15">
        <f>CDCM!B171+CDCM!C171+CDCM!D171</f>
        <v>653.93828636925605</v>
      </c>
      <c r="C74" s="28">
        <f>CDCM!E171</f>
        <v>4</v>
      </c>
      <c r="D74" s="15">
        <f>0.01*CDCM!F$14*(CDCM!$E4207*CDCM!E171+CDCM!$F4207*CDCM!F171)+10*(CDCM!$B4207*CDCM!B171+CDCM!$C4207*CDCM!C171+CDCM!$D4207*CDCM!D171+CDCM!$G4207*CDCM!G171)</f>
        <v>15110.528241984628</v>
      </c>
      <c r="E74" s="15">
        <f>10*(CDCM!$B4207*CDCM!B171+CDCM!$C4207*CDCM!C171+CDCM!$D4207*CDCM!D171)</f>
        <v>14630.775441984628</v>
      </c>
      <c r="F74" s="15">
        <f>CDCM!E4207*CDCM!$F$14*CDCM!$E171/100</f>
        <v>479.75280000000004</v>
      </c>
      <c r="G74" s="15">
        <f>CDCM!F4207*CDCM!$F$14*CDCM!$F171/100</f>
        <v>0</v>
      </c>
      <c r="H74" s="15">
        <f>CDCM!G4207*CDCM!$G171*10</f>
        <v>0</v>
      </c>
      <c r="I74" s="6">
        <f>IF(B74&lt;&gt;0,0.1*D74/B74,"")</f>
        <v>2.3106963695121903</v>
      </c>
      <c r="J74" s="30">
        <f>IF(C74&lt;&gt;0,D74/C74,"")</f>
        <v>3777.632060496157</v>
      </c>
      <c r="K74" s="6">
        <f>IF(B74&lt;&gt;0,0.1*E74/B74,0)</f>
        <v>2.2373327494275417</v>
      </c>
      <c r="L74" s="15">
        <f>CDCM!B4207*CDCM!$B171*10</f>
        <v>14425.428694955219</v>
      </c>
      <c r="M74" s="15">
        <f>CDCM!C4207*CDCM!$C171*10</f>
        <v>205.34674702941001</v>
      </c>
      <c r="N74" s="15">
        <f>CDCM!D4207*CDCM!$D171*10</f>
        <v>0</v>
      </c>
      <c r="O74" s="24">
        <f>IF(E74&lt;&gt;0,$L74/E74,"")</f>
        <v>0.98596473933704543</v>
      </c>
      <c r="P74" s="24">
        <f>IF(E74&lt;&gt;0,$M74/E74,"")</f>
        <v>1.4035260662954666E-2</v>
      </c>
      <c r="Q74" s="24">
        <f>IF(E74&lt;&gt;0,$N74/E74,"")</f>
        <v>0</v>
      </c>
      <c r="R74" s="24">
        <f>IF(D74&lt;&gt;0,$F74/D74,"")</f>
        <v>3.1749571710339423E-2</v>
      </c>
      <c r="S74" s="24">
        <f>IF(D74&lt;&gt;0,$G74/D74,"")</f>
        <v>0</v>
      </c>
      <c r="T74" s="24">
        <f>IF(D74&lt;&gt;0,$H74/D74,"")</f>
        <v>0</v>
      </c>
      <c r="U74" s="10"/>
    </row>
    <row r="75" spans="1:21">
      <c r="A75" s="17" t="s">
        <v>168</v>
      </c>
      <c r="U75" s="10"/>
    </row>
    <row r="76" spans="1:21">
      <c r="A76" s="11" t="s">
        <v>110</v>
      </c>
      <c r="B76" s="15">
        <f>CDCM!B173+CDCM!C173+CDCM!D173</f>
        <v>915.20307932776791</v>
      </c>
      <c r="C76" s="28">
        <f>CDCM!E173</f>
        <v>13</v>
      </c>
      <c r="D76" s="15">
        <f>0.01*CDCM!F$14*(CDCM!$E4209*CDCM!E173+CDCM!$F4209*CDCM!F173)+10*(CDCM!$B4209*CDCM!B173+CDCM!$C4209*CDCM!C173+CDCM!$D4209*CDCM!D173+CDCM!$G4209*CDCM!G173)</f>
        <v>23660.682765860114</v>
      </c>
      <c r="E76" s="15">
        <f>10*(CDCM!$B4209*CDCM!B173+CDCM!$C4209*CDCM!C173+CDCM!$D4209*CDCM!D173)</f>
        <v>15582.550365860116</v>
      </c>
      <c r="F76" s="15">
        <f>CDCM!E4209*CDCM!$F$14*CDCM!$E173/100</f>
        <v>8078.1323999999995</v>
      </c>
      <c r="G76" s="15">
        <f>CDCM!F4209*CDCM!$F$14*CDCM!$F173/100</f>
        <v>0</v>
      </c>
      <c r="H76" s="15">
        <f>CDCM!G4209*CDCM!$G173*10</f>
        <v>0</v>
      </c>
      <c r="I76" s="6">
        <f>IF(B76&lt;&gt;0,0.1*D76/B76,"")</f>
        <v>2.5852931770333734</v>
      </c>
      <c r="J76" s="30">
        <f>IF(C76&lt;&gt;0,D76/C76,"")</f>
        <v>1820.052520450778</v>
      </c>
      <c r="K76" s="6">
        <f>IF(B76&lt;&gt;0,0.1*E76/B76,0)</f>
        <v>1.7026330786939399</v>
      </c>
      <c r="L76" s="15">
        <f>CDCM!B4209*CDCM!$B173*10</f>
        <v>15433.882472052817</v>
      </c>
      <c r="M76" s="15">
        <f>CDCM!C4209*CDCM!$C173*10</f>
        <v>148.6678938072989</v>
      </c>
      <c r="N76" s="15">
        <f>CDCM!D4209*CDCM!$D173*10</f>
        <v>0</v>
      </c>
      <c r="O76" s="24">
        <f>IF(E76&lt;&gt;0,$L76/E76,"")</f>
        <v>0.99045933494089544</v>
      </c>
      <c r="P76" s="24">
        <f>IF(E76&lt;&gt;0,$M76/E76,"")</f>
        <v>9.5406650591045809E-3</v>
      </c>
      <c r="Q76" s="24">
        <f>IF(E76&lt;&gt;0,$N76/E76,"")</f>
        <v>0</v>
      </c>
      <c r="R76" s="24">
        <f>IF(D76&lt;&gt;0,$F76/D76,"")</f>
        <v>0.34141586191485135</v>
      </c>
      <c r="S76" s="24">
        <f>IF(D76&lt;&gt;0,$G76/D76,"")</f>
        <v>0</v>
      </c>
      <c r="T76" s="24">
        <f>IF(D76&lt;&gt;0,$H76/D76,"")</f>
        <v>0</v>
      </c>
      <c r="U76" s="10"/>
    </row>
    <row r="77" spans="1:21">
      <c r="A77" s="17" t="s">
        <v>1650</v>
      </c>
      <c r="U77" s="10"/>
    </row>
    <row r="78" spans="1:21">
      <c r="A78" s="11" t="s">
        <v>1647</v>
      </c>
      <c r="B78" s="15">
        <f>CDCM!B175+CDCM!C175+CDCM!D175</f>
        <v>0</v>
      </c>
      <c r="C78" s="28">
        <f>CDCM!E175</f>
        <v>0</v>
      </c>
      <c r="D78" s="15">
        <f>0.01*CDCM!F$14*(CDCM!$E4211*CDCM!E175+CDCM!$F4211*CDCM!F175)+10*(CDCM!$B4211*CDCM!B175+CDCM!$C4211*CDCM!C175+CDCM!$D4211*CDCM!D175+CDCM!$G4211*CDCM!G175)</f>
        <v>0</v>
      </c>
      <c r="E78" s="15">
        <f>10*(CDCM!$B4211*CDCM!B175+CDCM!$C4211*CDCM!C175+CDCM!$D4211*CDCM!D175)</f>
        <v>0</v>
      </c>
      <c r="F78" s="15">
        <f>CDCM!E4211*CDCM!$F$14*CDCM!$E175/100</f>
        <v>0</v>
      </c>
      <c r="G78" s="15">
        <f>CDCM!F4211*CDCM!$F$14*CDCM!$F175/100</f>
        <v>0</v>
      </c>
      <c r="H78" s="15">
        <f>CDCM!G4211*CDCM!$G175*10</f>
        <v>0</v>
      </c>
      <c r="I78" s="6" t="str">
        <f>IF(B78&lt;&gt;0,0.1*D78/B78,"")</f>
        <v/>
      </c>
      <c r="J78" s="30" t="str">
        <f>IF(C78&lt;&gt;0,D78/C78,"")</f>
        <v/>
      </c>
      <c r="K78" s="6">
        <f>IF(B78&lt;&gt;0,0.1*E78/B78,0)</f>
        <v>0</v>
      </c>
      <c r="L78" s="15">
        <f>CDCM!B4211*CDCM!$B175*10</f>
        <v>0</v>
      </c>
      <c r="M78" s="15">
        <f>CDCM!C4211*CDCM!$C175*10</f>
        <v>0</v>
      </c>
      <c r="N78" s="15">
        <f>CDCM!D4211*CDCM!$D175*10</f>
        <v>0</v>
      </c>
      <c r="O78" s="24" t="str">
        <f>IF(E78&lt;&gt;0,$L78/E78,"")</f>
        <v/>
      </c>
      <c r="P78" s="24" t="str">
        <f>IF(E78&lt;&gt;0,$M78/E78,"")</f>
        <v/>
      </c>
      <c r="Q78" s="24" t="str">
        <f>IF(E78&lt;&gt;0,$N78/E78,"")</f>
        <v/>
      </c>
      <c r="R78" s="24" t="str">
        <f>IF(D78&lt;&gt;0,$F78/D78,"")</f>
        <v/>
      </c>
      <c r="S78" s="24" t="str">
        <f>IF(D78&lt;&gt;0,$G78/D78,"")</f>
        <v/>
      </c>
      <c r="T78" s="24" t="str">
        <f>IF(D78&lt;&gt;0,$H78/D78,"")</f>
        <v/>
      </c>
      <c r="U78" s="10"/>
    </row>
    <row r="79" spans="1:21">
      <c r="A79" s="11" t="s">
        <v>1644</v>
      </c>
      <c r="B79" s="15">
        <f>CDCM!B176+CDCM!C176+CDCM!D176</f>
        <v>0</v>
      </c>
      <c r="C79" s="28">
        <f>CDCM!E176</f>
        <v>0</v>
      </c>
      <c r="D79" s="15">
        <f>0.01*CDCM!F$14*(CDCM!$E4212*CDCM!E176+CDCM!$F4212*CDCM!F176)+10*(CDCM!$B4212*CDCM!B176+CDCM!$C4212*CDCM!C176+CDCM!$D4212*CDCM!D176+CDCM!$G4212*CDCM!G176)</f>
        <v>0</v>
      </c>
      <c r="E79" s="15">
        <f>10*(CDCM!$B4212*CDCM!B176+CDCM!$C4212*CDCM!C176+CDCM!$D4212*CDCM!D176)</f>
        <v>0</v>
      </c>
      <c r="F79" s="15">
        <f>CDCM!E4212*CDCM!$F$14*CDCM!$E176/100</f>
        <v>0</v>
      </c>
      <c r="G79" s="15">
        <f>CDCM!F4212*CDCM!$F$14*CDCM!$F176/100</f>
        <v>0</v>
      </c>
      <c r="H79" s="15">
        <f>CDCM!G4212*CDCM!$G176*10</f>
        <v>0</v>
      </c>
      <c r="I79" s="6" t="str">
        <f>IF(B79&lt;&gt;0,0.1*D79/B79,"")</f>
        <v/>
      </c>
      <c r="J79" s="30" t="str">
        <f>IF(C79&lt;&gt;0,D79/C79,"")</f>
        <v/>
      </c>
      <c r="K79" s="6">
        <f>IF(B79&lt;&gt;0,0.1*E79/B79,0)</f>
        <v>0</v>
      </c>
      <c r="L79" s="15">
        <f>CDCM!B4212*CDCM!$B176*10</f>
        <v>0</v>
      </c>
      <c r="M79" s="15">
        <f>CDCM!C4212*CDCM!$C176*10</f>
        <v>0</v>
      </c>
      <c r="N79" s="15">
        <f>CDCM!D4212*CDCM!$D176*10</f>
        <v>0</v>
      </c>
      <c r="O79" s="24" t="str">
        <f>IF(E79&lt;&gt;0,$L79/E79,"")</f>
        <v/>
      </c>
      <c r="P79" s="24" t="str">
        <f>IF(E79&lt;&gt;0,$M79/E79,"")</f>
        <v/>
      </c>
      <c r="Q79" s="24" t="str">
        <f>IF(E79&lt;&gt;0,$N79/E79,"")</f>
        <v/>
      </c>
      <c r="R79" s="24" t="str">
        <f>IF(D79&lt;&gt;0,$F79/D79,"")</f>
        <v/>
      </c>
      <c r="S79" s="24" t="str">
        <f>IF(D79&lt;&gt;0,$G79/D79,"")</f>
        <v/>
      </c>
      <c r="T79" s="24" t="str">
        <f>IF(D79&lt;&gt;0,$H79/D79,"")</f>
        <v/>
      </c>
      <c r="U79" s="10"/>
    </row>
    <row r="80" spans="1:21">
      <c r="A80" s="11" t="s">
        <v>1641</v>
      </c>
      <c r="B80" s="15">
        <f>CDCM!B177+CDCM!C177+CDCM!D177</f>
        <v>0</v>
      </c>
      <c r="C80" s="28">
        <f>CDCM!E177</f>
        <v>0</v>
      </c>
      <c r="D80" s="15">
        <f>0.01*CDCM!F$14*(CDCM!$E4213*CDCM!E177+CDCM!$F4213*CDCM!F177)+10*(CDCM!$B4213*CDCM!B177+CDCM!$C4213*CDCM!C177+CDCM!$D4213*CDCM!D177+CDCM!$G4213*CDCM!G177)</f>
        <v>0</v>
      </c>
      <c r="E80" s="15">
        <f>10*(CDCM!$B4213*CDCM!B177+CDCM!$C4213*CDCM!C177+CDCM!$D4213*CDCM!D177)</f>
        <v>0</v>
      </c>
      <c r="F80" s="15">
        <f>CDCM!E4213*CDCM!$F$14*CDCM!$E177/100</f>
        <v>0</v>
      </c>
      <c r="G80" s="15">
        <f>CDCM!F4213*CDCM!$F$14*CDCM!$F177/100</f>
        <v>0</v>
      </c>
      <c r="H80" s="15">
        <f>CDCM!G4213*CDCM!$G177*10</f>
        <v>0</v>
      </c>
      <c r="I80" s="6" t="str">
        <f>IF(B80&lt;&gt;0,0.1*D80/B80,"")</f>
        <v/>
      </c>
      <c r="J80" s="30" t="str">
        <f>IF(C80&lt;&gt;0,D80/C80,"")</f>
        <v/>
      </c>
      <c r="K80" s="6">
        <f>IF(B80&lt;&gt;0,0.1*E80/B80,0)</f>
        <v>0</v>
      </c>
      <c r="L80" s="15">
        <f>CDCM!B4213*CDCM!$B177*10</f>
        <v>0</v>
      </c>
      <c r="M80" s="15">
        <f>CDCM!C4213*CDCM!$C177*10</f>
        <v>0</v>
      </c>
      <c r="N80" s="15">
        <f>CDCM!D4213*CDCM!$D177*10</f>
        <v>0</v>
      </c>
      <c r="O80" s="24" t="str">
        <f>IF(E80&lt;&gt;0,$L80/E80,"")</f>
        <v/>
      </c>
      <c r="P80" s="24" t="str">
        <f>IF(E80&lt;&gt;0,$M80/E80,"")</f>
        <v/>
      </c>
      <c r="Q80" s="24" t="str">
        <f>IF(E80&lt;&gt;0,$N80/E80,"")</f>
        <v/>
      </c>
      <c r="R80" s="24" t="str">
        <f>IF(D80&lt;&gt;0,$F80/D80,"")</f>
        <v/>
      </c>
      <c r="S80" s="24" t="str">
        <f>IF(D80&lt;&gt;0,$G80/D80,"")</f>
        <v/>
      </c>
      <c r="T80" s="24" t="str">
        <f>IF(D80&lt;&gt;0,$H80/D80,"")</f>
        <v/>
      </c>
      <c r="U80" s="10"/>
    </row>
    <row r="81" spans="1:21">
      <c r="A81" s="17" t="s">
        <v>1649</v>
      </c>
      <c r="U81" s="10"/>
    </row>
    <row r="82" spans="1:21">
      <c r="A82" s="11" t="s">
        <v>1646</v>
      </c>
      <c r="B82" s="15">
        <f>CDCM!B179+CDCM!C179+CDCM!D179</f>
        <v>0</v>
      </c>
      <c r="C82" s="28">
        <f>CDCM!E179</f>
        <v>0</v>
      </c>
      <c r="D82" s="15">
        <f>0.01*CDCM!F$14*(CDCM!$E4215*CDCM!E179+CDCM!$F4215*CDCM!F179)+10*(CDCM!$B4215*CDCM!B179+CDCM!$C4215*CDCM!C179+CDCM!$D4215*CDCM!D179+CDCM!$G4215*CDCM!G179)</f>
        <v>0</v>
      </c>
      <c r="E82" s="15">
        <f>10*(CDCM!$B4215*CDCM!B179+CDCM!$C4215*CDCM!C179+CDCM!$D4215*CDCM!D179)</f>
        <v>0</v>
      </c>
      <c r="F82" s="15">
        <f>CDCM!E4215*CDCM!$F$14*CDCM!$E179/100</f>
        <v>0</v>
      </c>
      <c r="G82" s="15">
        <f>CDCM!F4215*CDCM!$F$14*CDCM!$F179/100</f>
        <v>0</v>
      </c>
      <c r="H82" s="15">
        <f>CDCM!G4215*CDCM!$G179*10</f>
        <v>0</v>
      </c>
      <c r="I82" s="6" t="str">
        <f>IF(B82&lt;&gt;0,0.1*D82/B82,"")</f>
        <v/>
      </c>
      <c r="J82" s="30" t="str">
        <f>IF(C82&lt;&gt;0,D82/C82,"")</f>
        <v/>
      </c>
      <c r="K82" s="6">
        <f>IF(B82&lt;&gt;0,0.1*E82/B82,0)</f>
        <v>0</v>
      </c>
      <c r="L82" s="15">
        <f>CDCM!B4215*CDCM!$B179*10</f>
        <v>0</v>
      </c>
      <c r="M82" s="15">
        <f>CDCM!C4215*CDCM!$C179*10</f>
        <v>0</v>
      </c>
      <c r="N82" s="15">
        <f>CDCM!D4215*CDCM!$D179*10</f>
        <v>0</v>
      </c>
      <c r="O82" s="24" t="str">
        <f>IF(E82&lt;&gt;0,$L82/E82,"")</f>
        <v/>
      </c>
      <c r="P82" s="24" t="str">
        <f>IF(E82&lt;&gt;0,$M82/E82,"")</f>
        <v/>
      </c>
      <c r="Q82" s="24" t="str">
        <f>IF(E82&lt;&gt;0,$N82/E82,"")</f>
        <v/>
      </c>
      <c r="R82" s="24" t="str">
        <f>IF(D82&lt;&gt;0,$F82/D82,"")</f>
        <v/>
      </c>
      <c r="S82" s="24" t="str">
        <f>IF(D82&lt;&gt;0,$G82/D82,"")</f>
        <v/>
      </c>
      <c r="T82" s="24" t="str">
        <f>IF(D82&lt;&gt;0,$H82/D82,"")</f>
        <v/>
      </c>
      <c r="U82" s="10"/>
    </row>
    <row r="83" spans="1:21">
      <c r="A83" s="11" t="s">
        <v>1643</v>
      </c>
      <c r="B83" s="15">
        <f>CDCM!B180+CDCM!C180+CDCM!D180</f>
        <v>0</v>
      </c>
      <c r="C83" s="28">
        <f>CDCM!E180</f>
        <v>0</v>
      </c>
      <c r="D83" s="15">
        <f>0.01*CDCM!F$14*(CDCM!$E4216*CDCM!E180+CDCM!$F4216*CDCM!F180)+10*(CDCM!$B4216*CDCM!B180+CDCM!$C4216*CDCM!C180+CDCM!$D4216*CDCM!D180+CDCM!$G4216*CDCM!G180)</f>
        <v>0</v>
      </c>
      <c r="E83" s="15">
        <f>10*(CDCM!$B4216*CDCM!B180+CDCM!$C4216*CDCM!C180+CDCM!$D4216*CDCM!D180)</f>
        <v>0</v>
      </c>
      <c r="F83" s="15">
        <f>CDCM!E4216*CDCM!$F$14*CDCM!$E180/100</f>
        <v>0</v>
      </c>
      <c r="G83" s="15">
        <f>CDCM!F4216*CDCM!$F$14*CDCM!$F180/100</f>
        <v>0</v>
      </c>
      <c r="H83" s="15">
        <f>CDCM!G4216*CDCM!$G180*10</f>
        <v>0</v>
      </c>
      <c r="I83" s="6" t="str">
        <f>IF(B83&lt;&gt;0,0.1*D83/B83,"")</f>
        <v/>
      </c>
      <c r="J83" s="30" t="str">
        <f>IF(C83&lt;&gt;0,D83/C83,"")</f>
        <v/>
      </c>
      <c r="K83" s="6">
        <f>IF(B83&lt;&gt;0,0.1*E83/B83,0)</f>
        <v>0</v>
      </c>
      <c r="L83" s="15">
        <f>CDCM!B4216*CDCM!$B180*10</f>
        <v>0</v>
      </c>
      <c r="M83" s="15">
        <f>CDCM!C4216*CDCM!$C180*10</f>
        <v>0</v>
      </c>
      <c r="N83" s="15">
        <f>CDCM!D4216*CDCM!$D180*10</f>
        <v>0</v>
      </c>
      <c r="O83" s="24" t="str">
        <f>IF(E83&lt;&gt;0,$L83/E83,"")</f>
        <v/>
      </c>
      <c r="P83" s="24" t="str">
        <f>IF(E83&lt;&gt;0,$M83/E83,"")</f>
        <v/>
      </c>
      <c r="Q83" s="24" t="str">
        <f>IF(E83&lt;&gt;0,$N83/E83,"")</f>
        <v/>
      </c>
      <c r="R83" s="24" t="str">
        <f>IF(D83&lt;&gt;0,$F83/D83,"")</f>
        <v/>
      </c>
      <c r="S83" s="24" t="str">
        <f>IF(D83&lt;&gt;0,$G83/D83,"")</f>
        <v/>
      </c>
      <c r="T83" s="24" t="str">
        <f>IF(D83&lt;&gt;0,$H83/D83,"")</f>
        <v/>
      </c>
      <c r="U83" s="10"/>
    </row>
    <row r="84" spans="1:21">
      <c r="A84" s="11" t="s">
        <v>1640</v>
      </c>
      <c r="B84" s="15">
        <f>CDCM!B181+CDCM!C181+CDCM!D181</f>
        <v>0</v>
      </c>
      <c r="C84" s="28">
        <f>CDCM!E181</f>
        <v>0</v>
      </c>
      <c r="D84" s="15">
        <f>0.01*CDCM!F$14*(CDCM!$E4217*CDCM!E181+CDCM!$F4217*CDCM!F181)+10*(CDCM!$B4217*CDCM!B181+CDCM!$C4217*CDCM!C181+CDCM!$D4217*CDCM!D181+CDCM!$G4217*CDCM!G181)</f>
        <v>0</v>
      </c>
      <c r="E84" s="15">
        <f>10*(CDCM!$B4217*CDCM!B181+CDCM!$C4217*CDCM!C181+CDCM!$D4217*CDCM!D181)</f>
        <v>0</v>
      </c>
      <c r="F84" s="15">
        <f>CDCM!E4217*CDCM!$F$14*CDCM!$E181/100</f>
        <v>0</v>
      </c>
      <c r="G84" s="15">
        <f>CDCM!F4217*CDCM!$F$14*CDCM!$F181/100</f>
        <v>0</v>
      </c>
      <c r="H84" s="15">
        <f>CDCM!G4217*CDCM!$G181*10</f>
        <v>0</v>
      </c>
      <c r="I84" s="6" t="str">
        <f>IF(B84&lt;&gt;0,0.1*D84/B84,"")</f>
        <v/>
      </c>
      <c r="J84" s="30" t="str">
        <f>IF(C84&lt;&gt;0,D84/C84,"")</f>
        <v/>
      </c>
      <c r="K84" s="6">
        <f>IF(B84&lt;&gt;0,0.1*E84/B84,0)</f>
        <v>0</v>
      </c>
      <c r="L84" s="15">
        <f>CDCM!B4217*CDCM!$B181*10</f>
        <v>0</v>
      </c>
      <c r="M84" s="15">
        <f>CDCM!C4217*CDCM!$C181*10</f>
        <v>0</v>
      </c>
      <c r="N84" s="15">
        <f>CDCM!D4217*CDCM!$D181*10</f>
        <v>0</v>
      </c>
      <c r="O84" s="24" t="str">
        <f>IF(E84&lt;&gt;0,$L84/E84,"")</f>
        <v/>
      </c>
      <c r="P84" s="24" t="str">
        <f>IF(E84&lt;&gt;0,$M84/E84,"")</f>
        <v/>
      </c>
      <c r="Q84" s="24" t="str">
        <f>IF(E84&lt;&gt;0,$N84/E84,"")</f>
        <v/>
      </c>
      <c r="R84" s="24" t="str">
        <f>IF(D84&lt;&gt;0,$F84/D84,"")</f>
        <v/>
      </c>
      <c r="S84" s="24" t="str">
        <f>IF(D84&lt;&gt;0,$G84/D84,"")</f>
        <v/>
      </c>
      <c r="T84" s="24" t="str">
        <f>IF(D84&lt;&gt;0,$H84/D84,"")</f>
        <v/>
      </c>
      <c r="U84" s="10"/>
    </row>
    <row r="85" spans="1:21">
      <c r="A85" s="17" t="s">
        <v>169</v>
      </c>
      <c r="U85" s="10"/>
    </row>
    <row r="86" spans="1:21">
      <c r="A86" s="11" t="s">
        <v>98</v>
      </c>
      <c r="B86" s="15">
        <f>CDCM!B183+CDCM!C183+CDCM!D183</f>
        <v>1265460.4248763882</v>
      </c>
      <c r="C86" s="28">
        <f>CDCM!E183</f>
        <v>3111</v>
      </c>
      <c r="D86" s="15">
        <f>0.01*CDCM!F$14*(CDCM!$E4219*CDCM!E183+CDCM!$F4219*CDCM!F183)+10*(CDCM!$B4219*CDCM!B183+CDCM!$C4219*CDCM!C183+CDCM!$D4219*CDCM!D183+CDCM!$G4219*CDCM!G183)</f>
        <v>32228845.115254246</v>
      </c>
      <c r="E86" s="15">
        <f>10*(CDCM!$B4219*CDCM!B183+CDCM!$C4219*CDCM!C183+CDCM!$D4219*CDCM!D183)</f>
        <v>25048726.448454242</v>
      </c>
      <c r="F86" s="15">
        <f>CDCM!E4219*CDCM!$F$14*CDCM!$E183/100</f>
        <v>133219.242</v>
      </c>
      <c r="G86" s="15">
        <f>CDCM!F4219*CDCM!$F$14*CDCM!$F183/100</f>
        <v>6435031.3248000005</v>
      </c>
      <c r="H86" s="15">
        <f>CDCM!G4219*CDCM!$G183*10</f>
        <v>611868.1</v>
      </c>
      <c r="I86" s="6">
        <f>IF(B86&lt;&gt;0,0.1*D86/B86,"")</f>
        <v>2.5468078243855317</v>
      </c>
      <c r="J86" s="30">
        <f>IF(C86&lt;&gt;0,D86/C86,"")</f>
        <v>10359.641631389986</v>
      </c>
      <c r="K86" s="6">
        <f>IF(B86&lt;&gt;0,0.1*E86/B86,0)</f>
        <v>1.9794160256652067</v>
      </c>
      <c r="L86" s="15">
        <f>CDCM!B4219*CDCM!$B183*10</f>
        <v>15043546.039448299</v>
      </c>
      <c r="M86" s="15">
        <f>CDCM!C4219*CDCM!$C183*10</f>
        <v>9403387.4652593937</v>
      </c>
      <c r="N86" s="15">
        <f>CDCM!D4219*CDCM!$D183*10</f>
        <v>601792.94374654791</v>
      </c>
      <c r="O86" s="24">
        <f>IF(E86&lt;&gt;0,$L86/E86,"")</f>
        <v>0.60057129333122783</v>
      </c>
      <c r="P86" s="24">
        <f>IF(E86&lt;&gt;0,$M86/E86,"")</f>
        <v>0.37540381482507174</v>
      </c>
      <c r="Q86" s="24">
        <f>IF(E86&lt;&gt;0,$N86/E86,"")</f>
        <v>2.4024891843700283E-2</v>
      </c>
      <c r="R86" s="24">
        <f>IF(D86&lt;&gt;0,$F86/D86,"")</f>
        <v>4.133540669037066E-3</v>
      </c>
      <c r="S86" s="24">
        <f>IF(D86&lt;&gt;0,$G86/D86,"")</f>
        <v>0.19966682956797088</v>
      </c>
      <c r="T86" s="24">
        <f>IF(D86&lt;&gt;0,$H86/D86,"")</f>
        <v>1.8985107837773452E-2</v>
      </c>
      <c r="U86" s="10"/>
    </row>
    <row r="87" spans="1:21">
      <c r="A87" s="11" t="s">
        <v>170</v>
      </c>
      <c r="B87" s="15">
        <f>CDCM!B184+CDCM!C184+CDCM!D184</f>
        <v>0</v>
      </c>
      <c r="C87" s="28">
        <f>CDCM!E184</f>
        <v>0</v>
      </c>
      <c r="D87" s="15">
        <f>0.01*CDCM!F$14*(CDCM!$E4220*CDCM!E184+CDCM!$F4220*CDCM!F184)+10*(CDCM!$B4220*CDCM!B184+CDCM!$C4220*CDCM!C184+CDCM!$D4220*CDCM!D184+CDCM!$G4220*CDCM!G184)</f>
        <v>0</v>
      </c>
      <c r="E87" s="15">
        <f>10*(CDCM!$B4220*CDCM!B184+CDCM!$C4220*CDCM!C184+CDCM!$D4220*CDCM!D184)</f>
        <v>0</v>
      </c>
      <c r="F87" s="15">
        <f>CDCM!E4220*CDCM!$F$14*CDCM!$E184/100</f>
        <v>0</v>
      </c>
      <c r="G87" s="15">
        <f>CDCM!F4220*CDCM!$F$14*CDCM!$F184/100</f>
        <v>0</v>
      </c>
      <c r="H87" s="15">
        <f>CDCM!G4220*CDCM!$G184*10</f>
        <v>0</v>
      </c>
      <c r="I87" s="6" t="str">
        <f>IF(B87&lt;&gt;0,0.1*D87/B87,"")</f>
        <v/>
      </c>
      <c r="J87" s="30" t="str">
        <f>IF(C87&lt;&gt;0,D87/C87,"")</f>
        <v/>
      </c>
      <c r="K87" s="6">
        <f>IF(B87&lt;&gt;0,0.1*E87/B87,0)</f>
        <v>0</v>
      </c>
      <c r="L87" s="15">
        <f>CDCM!B4220*CDCM!$B184*10</f>
        <v>0</v>
      </c>
      <c r="M87" s="15">
        <f>CDCM!C4220*CDCM!$C184*10</f>
        <v>0</v>
      </c>
      <c r="N87" s="15">
        <f>CDCM!D4220*CDCM!$D184*10</f>
        <v>0</v>
      </c>
      <c r="O87" s="24" t="str">
        <f>IF(E87&lt;&gt;0,$L87/E87,"")</f>
        <v/>
      </c>
      <c r="P87" s="24" t="str">
        <f>IF(E87&lt;&gt;0,$M87/E87,"")</f>
        <v/>
      </c>
      <c r="Q87" s="24" t="str">
        <f>IF(E87&lt;&gt;0,$N87/E87,"")</f>
        <v/>
      </c>
      <c r="R87" s="24" t="str">
        <f>IF(D87&lt;&gt;0,$F87/D87,"")</f>
        <v/>
      </c>
      <c r="S87" s="24" t="str">
        <f>IF(D87&lt;&gt;0,$G87/D87,"")</f>
        <v/>
      </c>
      <c r="T87" s="24" t="str">
        <f>IF(D87&lt;&gt;0,$H87/D87,"")</f>
        <v/>
      </c>
      <c r="U87" s="10"/>
    </row>
    <row r="88" spans="1:21">
      <c r="A88" s="11" t="s">
        <v>171</v>
      </c>
      <c r="B88" s="15">
        <f>CDCM!B185+CDCM!C185+CDCM!D185</f>
        <v>16895.741983736159</v>
      </c>
      <c r="C88" s="28">
        <f>CDCM!E185</f>
        <v>20</v>
      </c>
      <c r="D88" s="15">
        <f>0.01*CDCM!F$14*(CDCM!$E4221*CDCM!E185+CDCM!$F4221*CDCM!F185)+10*(CDCM!$B4221*CDCM!B185+CDCM!$C4221*CDCM!C185+CDCM!$D4221*CDCM!D185+CDCM!$G4221*CDCM!G185)</f>
        <v>161435.92028480498</v>
      </c>
      <c r="E88" s="15">
        <f>10*(CDCM!$B4221*CDCM!B185+CDCM!$C4221*CDCM!C185+CDCM!$D4221*CDCM!D185)</f>
        <v>131983.53428480498</v>
      </c>
      <c r="F88" s="15">
        <f>CDCM!E4221*CDCM!$F$14*CDCM!$E185/100</f>
        <v>309.63600000000002</v>
      </c>
      <c r="G88" s="15">
        <f>CDCM!F4221*CDCM!$F$14*CDCM!$F185/100</f>
        <v>28121.61</v>
      </c>
      <c r="H88" s="15">
        <f>CDCM!G4221*CDCM!$G185*10</f>
        <v>1021.1400000000001</v>
      </c>
      <c r="I88" s="6">
        <f>IF(B88&lt;&gt;0,0.1*D88/B88,"")</f>
        <v>0.95548286923535641</v>
      </c>
      <c r="J88" s="30">
        <f>IF(C88&lt;&gt;0,D88/C88,"")</f>
        <v>8071.796014240249</v>
      </c>
      <c r="K88" s="6">
        <f>IF(B88&lt;&gt;0,0.1*E88/B88,0)</f>
        <v>0.78116447571140901</v>
      </c>
      <c r="L88" s="15">
        <f>CDCM!B4221*CDCM!$B185*10</f>
        <v>83921.527763338454</v>
      </c>
      <c r="M88" s="15">
        <f>CDCM!C4221*CDCM!$C185*10</f>
        <v>45246.257525647801</v>
      </c>
      <c r="N88" s="15">
        <f>CDCM!D4221*CDCM!$D185*10</f>
        <v>2815.7489958187298</v>
      </c>
      <c r="O88" s="24">
        <f>IF(E88&lt;&gt;0,$L88/E88,"")</f>
        <v>0.63584846562939923</v>
      </c>
      <c r="P88" s="24">
        <f>IF(E88&lt;&gt;0,$M88/E88,"")</f>
        <v>0.34281744136364534</v>
      </c>
      <c r="Q88" s="24">
        <f>IF(E88&lt;&gt;0,$N88/E88,"")</f>
        <v>2.1334093006955504E-2</v>
      </c>
      <c r="R88" s="24">
        <f>IF(D88&lt;&gt;0,$F88/D88,"")</f>
        <v>1.9180117996895655E-3</v>
      </c>
      <c r="S88" s="24">
        <f>IF(D88&lt;&gt;0,$G88/D88,"")</f>
        <v>0.17419673360419358</v>
      </c>
      <c r="T88" s="24">
        <f>IF(D88&lt;&gt;0,$H88/D88,"")</f>
        <v>6.3253580628060144E-3</v>
      </c>
      <c r="U88" s="10"/>
    </row>
    <row r="89" spans="1:21">
      <c r="A89" s="17" t="s">
        <v>172</v>
      </c>
      <c r="U89" s="10"/>
    </row>
    <row r="90" spans="1:21">
      <c r="A90" s="11" t="s">
        <v>99</v>
      </c>
      <c r="B90" s="15">
        <f>CDCM!B187+CDCM!C187+CDCM!D187</f>
        <v>14595.246619731966</v>
      </c>
      <c r="C90" s="28">
        <f>CDCM!E187</f>
        <v>18</v>
      </c>
      <c r="D90" s="15">
        <f>0.01*CDCM!F$14*(CDCM!$E4223*CDCM!E187+CDCM!$F4223*CDCM!F187)+10*(CDCM!$B4223*CDCM!B187+CDCM!$C4223*CDCM!C187+CDCM!$D4223*CDCM!D187+CDCM!$G4223*CDCM!G187)</f>
        <v>327535.07306991529</v>
      </c>
      <c r="E90" s="15">
        <f>10*(CDCM!$B4223*CDCM!B187+CDCM!$C4223*CDCM!C187+CDCM!$D4223*CDCM!D187)</f>
        <v>240878.10986991529</v>
      </c>
      <c r="F90" s="15">
        <f>CDCM!E4223*CDCM!$F$14*CDCM!$E187/100</f>
        <v>593.5788</v>
      </c>
      <c r="G90" s="15">
        <f>CDCM!F4223*CDCM!$F$14*CDCM!$F187/100</f>
        <v>78310.604400000011</v>
      </c>
      <c r="H90" s="15">
        <f>CDCM!G4223*CDCM!$G187*10</f>
        <v>7752.7800000000007</v>
      </c>
      <c r="I90" s="6">
        <f>IF(B90&lt;&gt;0,0.1*D90/B90,"")</f>
        <v>2.2441215390434444</v>
      </c>
      <c r="J90" s="30">
        <f>IF(C90&lt;&gt;0,D90/C90,"")</f>
        <v>18196.392948328627</v>
      </c>
      <c r="K90" s="6">
        <f>IF(B90&lt;&gt;0,0.1*E90/B90,0)</f>
        <v>1.6503873908116182</v>
      </c>
      <c r="L90" s="15">
        <f>CDCM!B4223*CDCM!$B187*10</f>
        <v>151978.80846756895</v>
      </c>
      <c r="M90" s="15">
        <f>CDCM!C4223*CDCM!$C187*10</f>
        <v>83789.360210885628</v>
      </c>
      <c r="N90" s="15">
        <f>CDCM!D4223*CDCM!$D187*10</f>
        <v>5109.941191460658</v>
      </c>
      <c r="O90" s="24">
        <f>IF(E90&lt;&gt;0,$L90/E90,"")</f>
        <v>0.63093657015842641</v>
      </c>
      <c r="P90" s="24">
        <f>IF(E90&lt;&gt;0,$M90/E90,"")</f>
        <v>0.34784962509102857</v>
      </c>
      <c r="Q90" s="24">
        <f>IF(E90&lt;&gt;0,$N90/E90,"")</f>
        <v>2.1213804750544785E-2</v>
      </c>
      <c r="R90" s="24">
        <f>IF(D90&lt;&gt;0,$F90/D90,"")</f>
        <v>1.8122602701338654E-3</v>
      </c>
      <c r="S90" s="24">
        <f>IF(D90&lt;&gt;0,$G90/D90,"")</f>
        <v>0.23909074428583077</v>
      </c>
      <c r="T90" s="24">
        <f>IF(D90&lt;&gt;0,$H90/D90,"")</f>
        <v>2.3670075779472631E-2</v>
      </c>
      <c r="U90" s="10"/>
    </row>
    <row r="91" spans="1:21">
      <c r="A91" s="11" t="s">
        <v>173</v>
      </c>
      <c r="B91" s="15">
        <f>CDCM!B188+CDCM!C188+CDCM!D188</f>
        <v>4566.4167523611241</v>
      </c>
      <c r="C91" s="28">
        <f>CDCM!E188</f>
        <v>5</v>
      </c>
      <c r="D91" s="15">
        <f>0.01*CDCM!F$14*(CDCM!$E4224*CDCM!E188+CDCM!$F4224*CDCM!F188)+10*(CDCM!$B4224*CDCM!B188+CDCM!$C4224*CDCM!C188+CDCM!$D4224*CDCM!D188+CDCM!$G4224*CDCM!G188)</f>
        <v>50317.545764329836</v>
      </c>
      <c r="E91" s="15">
        <f>10*(CDCM!$B4224*CDCM!B188+CDCM!$C4224*CDCM!C188+CDCM!$D4224*CDCM!D188)</f>
        <v>42652.418364329831</v>
      </c>
      <c r="F91" s="15">
        <f>CDCM!E4224*CDCM!$F$14*CDCM!$E188/100</f>
        <v>90.036000000000001</v>
      </c>
      <c r="G91" s="15">
        <f>CDCM!F4224*CDCM!$F$14*CDCM!$F188/100</f>
        <v>7302.7614000000012</v>
      </c>
      <c r="H91" s="15">
        <f>CDCM!G4224*CDCM!$G188*10</f>
        <v>272.33</v>
      </c>
      <c r="I91" s="6">
        <f>IF(B91&lt;&gt;0,0.1*D91/B91,"")</f>
        <v>1.1019043703865292</v>
      </c>
      <c r="J91" s="30">
        <f>IF(C91&lt;&gt;0,D91/C91,"")</f>
        <v>10063.509152865967</v>
      </c>
      <c r="K91" s="6">
        <f>IF(B91&lt;&gt;0,0.1*E91/B91,0)</f>
        <v>0.93404567908252911</v>
      </c>
      <c r="L91" s="15">
        <f>CDCM!B4224*CDCM!$B188*10</f>
        <v>27322.287475869001</v>
      </c>
      <c r="M91" s="15">
        <f>CDCM!C4224*CDCM!$C188*10</f>
        <v>14482.6388688348</v>
      </c>
      <c r="N91" s="15">
        <f>CDCM!D4224*CDCM!$D188*10</f>
        <v>847.49201962603036</v>
      </c>
      <c r="O91" s="24">
        <f>IF(E91&lt;&gt;0,$L91/E91,"")</f>
        <v>0.64058003094892735</v>
      </c>
      <c r="P91" s="24">
        <f>IF(E91&lt;&gt;0,$M91/E91,"")</f>
        <v>0.33955023945246243</v>
      </c>
      <c r="Q91" s="24">
        <f>IF(E91&lt;&gt;0,$N91/E91,"")</f>
        <v>1.9869729598610216E-2</v>
      </c>
      <c r="R91" s="24">
        <f>IF(D91&lt;&gt;0,$F91/D91,"")</f>
        <v>1.7893559519317141E-3</v>
      </c>
      <c r="S91" s="24">
        <f>IF(D91&lt;&gt;0,$G91/D91,"")</f>
        <v>0.14513349745243212</v>
      </c>
      <c r="T91" s="24">
        <f>IF(D91&lt;&gt;0,$H91/D91,"")</f>
        <v>5.4122274022564715E-3</v>
      </c>
      <c r="U91" s="10"/>
    </row>
    <row r="92" spans="1:21">
      <c r="A92" s="17" t="s">
        <v>174</v>
      </c>
      <c r="U92" s="10"/>
    </row>
    <row r="93" spans="1:21">
      <c r="A93" s="11" t="s">
        <v>111</v>
      </c>
      <c r="B93" s="15">
        <f>CDCM!B190+CDCM!C190+CDCM!D190</f>
        <v>2136453.6366452407</v>
      </c>
      <c r="C93" s="28">
        <f>CDCM!E190</f>
        <v>595</v>
      </c>
      <c r="D93" s="15">
        <f>0.01*CDCM!F$14*(CDCM!$E4226*CDCM!E190+CDCM!$F4226*CDCM!F190)+10*(CDCM!$B4226*CDCM!B190+CDCM!$C4226*CDCM!C190+CDCM!$D4226*CDCM!D190+CDCM!$G4226*CDCM!G190)</f>
        <v>38685970.425951503</v>
      </c>
      <c r="E93" s="15">
        <f>10*(CDCM!$B4226*CDCM!B190+CDCM!$C4226*CDCM!C190+CDCM!$D4226*CDCM!D190)</f>
        <v>28876543.492951505</v>
      </c>
      <c r="F93" s="15">
        <f>CDCM!E4226*CDCM!$F$14*CDCM!$E190/100</f>
        <v>194686.38</v>
      </c>
      <c r="G93" s="15">
        <f>CDCM!F4226*CDCM!$F$14*CDCM!$F190/100</f>
        <v>9053405.4629999995</v>
      </c>
      <c r="H93" s="15">
        <f>CDCM!G4226*CDCM!$G190*10</f>
        <v>561335.09</v>
      </c>
      <c r="I93" s="6">
        <f>IF(B93&lt;&gt;0,0.1*D93/B93,"")</f>
        <v>1.8107563750692022</v>
      </c>
      <c r="J93" s="30">
        <f>IF(C93&lt;&gt;0,D93/C93,"")</f>
        <v>65018.437690674793</v>
      </c>
      <c r="K93" s="6">
        <f>IF(B93&lt;&gt;0,0.1*E93/B93,0)</f>
        <v>1.3516110528986158</v>
      </c>
      <c r="L93" s="15">
        <f>CDCM!B4226*CDCM!$B190*10</f>
        <v>17793529.683442801</v>
      </c>
      <c r="M93" s="15">
        <f>CDCM!C4226*CDCM!$C190*10</f>
        <v>10368474.13519018</v>
      </c>
      <c r="N93" s="15">
        <f>CDCM!D4226*CDCM!$D190*10</f>
        <v>714539.67431852082</v>
      </c>
      <c r="O93" s="24">
        <f>IF(E93&lt;&gt;0,$L93/E93,"")</f>
        <v>0.61619319804622863</v>
      </c>
      <c r="P93" s="24">
        <f>IF(E93&lt;&gt;0,$M93/E93,"")</f>
        <v>0.359062161914255</v>
      </c>
      <c r="Q93" s="24">
        <f>IF(E93&lt;&gt;0,$N93/E93,"")</f>
        <v>2.4744640039516271E-2</v>
      </c>
      <c r="R93" s="24">
        <f>IF(D93&lt;&gt;0,$F93/D93,"")</f>
        <v>5.0324801951820647E-3</v>
      </c>
      <c r="S93" s="24">
        <f>IF(D93&lt;&gt;0,$G93/D93,"")</f>
        <v>0.23402296396646036</v>
      </c>
      <c r="T93" s="24">
        <f>IF(D93&lt;&gt;0,$H93/D93,"")</f>
        <v>1.451004288685085E-2</v>
      </c>
      <c r="U93" s="10"/>
    </row>
    <row r="94" spans="1:21">
      <c r="A94" s="11" t="s">
        <v>175</v>
      </c>
      <c r="B94" s="15">
        <f>CDCM!B191+CDCM!C191+CDCM!D191</f>
        <v>7655.6172125942967</v>
      </c>
      <c r="C94" s="28">
        <f>CDCM!E191</f>
        <v>5</v>
      </c>
      <c r="D94" s="15">
        <f>0.01*CDCM!F$14*(CDCM!$E4227*CDCM!E191+CDCM!$F4227*CDCM!F191)+10*(CDCM!$B4227*CDCM!B191+CDCM!$C4227*CDCM!C191+CDCM!$D4227*CDCM!D191+CDCM!$G4227*CDCM!G191)</f>
        <v>118944.37984279945</v>
      </c>
      <c r="E94" s="15">
        <f>10*(CDCM!$B4227*CDCM!B191+CDCM!$C4227*CDCM!C191+CDCM!$D4227*CDCM!D191)</f>
        <v>75240.193442799457</v>
      </c>
      <c r="F94" s="15">
        <f>CDCM!E4227*CDCM!$F$14*CDCM!$E191/100</f>
        <v>1072.5629999999999</v>
      </c>
      <c r="G94" s="15">
        <f>CDCM!F4227*CDCM!$F$14*CDCM!$F191/100</f>
        <v>41811.803399999997</v>
      </c>
      <c r="H94" s="15">
        <f>CDCM!G4227*CDCM!$G191*10</f>
        <v>819.81999999999994</v>
      </c>
      <c r="I94" s="6">
        <f>IF(B94&lt;&gt;0,0.1*D94/B94,"")</f>
        <v>1.5536876588751516</v>
      </c>
      <c r="J94" s="30">
        <f>IF(C94&lt;&gt;0,D94/C94,"")</f>
        <v>23788.875968559889</v>
      </c>
      <c r="K94" s="6">
        <f>IF(B94&lt;&gt;0,0.1*E94/B94,0)</f>
        <v>0.98281028626955669</v>
      </c>
      <c r="L94" s="15">
        <f>CDCM!B4227*CDCM!$B191*10</f>
        <v>47663.566714060835</v>
      </c>
      <c r="M94" s="15">
        <f>CDCM!C4227*CDCM!$C191*10</f>
        <v>26071.787830259145</v>
      </c>
      <c r="N94" s="15">
        <f>CDCM!D4227*CDCM!$D191*10</f>
        <v>1504.8388984794719</v>
      </c>
      <c r="O94" s="24">
        <f>IF(E94&lt;&gt;0,$L94/E94,"")</f>
        <v>0.63348543555110004</v>
      </c>
      <c r="P94" s="24">
        <f>IF(E94&lt;&gt;0,$M94/E94,"")</f>
        <v>0.34651409887828027</v>
      </c>
      <c r="Q94" s="24">
        <f>IF(E94&lt;&gt;0,$N94/E94,"")</f>
        <v>2.0000465570619637E-2</v>
      </c>
      <c r="R94" s="24">
        <f>IF(D94&lt;&gt;0,$F94/D94,"")</f>
        <v>9.0173491292109154E-3</v>
      </c>
      <c r="S94" s="24">
        <f>IF(D94&lt;&gt;0,$G94/D94,"")</f>
        <v>0.35152399344348817</v>
      </c>
      <c r="T94" s="24">
        <f>IF(D94&lt;&gt;0,$H94/D94,"")</f>
        <v>6.8924652100712898E-3</v>
      </c>
      <c r="U94" s="10"/>
    </row>
    <row r="95" spans="1:21">
      <c r="A95" s="17" t="s">
        <v>176</v>
      </c>
      <c r="U95" s="10"/>
    </row>
    <row r="96" spans="1:21">
      <c r="A96" s="11" t="s">
        <v>131</v>
      </c>
      <c r="B96" s="15">
        <f>CDCM!B193+CDCM!C193+CDCM!D193</f>
        <v>7597.2957335261272</v>
      </c>
      <c r="C96" s="28">
        <f>CDCM!E193</f>
        <v>514</v>
      </c>
      <c r="D96" s="15">
        <f>0.01*CDCM!F$14*(CDCM!$E4229*CDCM!E193+CDCM!$F4229*CDCM!F193)+10*(CDCM!$B4229*CDCM!B193+CDCM!$C4229*CDCM!C193+CDCM!$D4229*CDCM!D193+CDCM!$G4229*CDCM!G193)</f>
        <v>198821.22934637876</v>
      </c>
      <c r="E96" s="15">
        <f>10*(CDCM!$B4229*CDCM!B193+CDCM!$C4229*CDCM!C193+CDCM!$D4229*CDCM!D193)</f>
        <v>198821.22934637876</v>
      </c>
      <c r="F96" s="15">
        <f>CDCM!E4229*CDCM!$F$14*CDCM!$E193/100</f>
        <v>0</v>
      </c>
      <c r="G96" s="15">
        <f>CDCM!F4229*CDCM!$F$14*CDCM!$F193/100</f>
        <v>0</v>
      </c>
      <c r="H96" s="15">
        <f>CDCM!G4229*CDCM!$G193*10</f>
        <v>0</v>
      </c>
      <c r="I96" s="6">
        <f>IF(B96&lt;&gt;0,0.1*D96/B96,"")</f>
        <v>2.6170000000000004</v>
      </c>
      <c r="J96" s="30">
        <f>IF(C96&lt;&gt;0,D96/C96,"")</f>
        <v>386.81173024587309</v>
      </c>
      <c r="K96" s="6">
        <f>IF(B96&lt;&gt;0,0.1*E96/B96,0)</f>
        <v>2.6170000000000004</v>
      </c>
      <c r="L96" s="15">
        <f>CDCM!B4229*CDCM!$B193*10</f>
        <v>198821.22934637876</v>
      </c>
      <c r="M96" s="15">
        <f>CDCM!C4229*CDCM!$C193*10</f>
        <v>0</v>
      </c>
      <c r="N96" s="15">
        <f>CDCM!D4229*CDCM!$D193*10</f>
        <v>0</v>
      </c>
      <c r="O96" s="24">
        <f>IF(E96&lt;&gt;0,$L96/E96,"")</f>
        <v>1</v>
      </c>
      <c r="P96" s="24">
        <f>IF(E96&lt;&gt;0,$M96/E96,"")</f>
        <v>0</v>
      </c>
      <c r="Q96" s="24">
        <f>IF(E96&lt;&gt;0,$N96/E96,"")</f>
        <v>0</v>
      </c>
      <c r="R96" s="24">
        <f>IF(D96&lt;&gt;0,$F96/D96,"")</f>
        <v>0</v>
      </c>
      <c r="S96" s="24">
        <f>IF(D96&lt;&gt;0,$G96/D96,"")</f>
        <v>0</v>
      </c>
      <c r="T96" s="24">
        <f>IF(D96&lt;&gt;0,$H96/D96,"")</f>
        <v>0</v>
      </c>
      <c r="U96" s="10"/>
    </row>
    <row r="97" spans="1:21">
      <c r="A97" s="11" t="s">
        <v>177</v>
      </c>
      <c r="B97" s="15">
        <f>CDCM!B194+CDCM!C194+CDCM!D194</f>
        <v>38.57379559770618</v>
      </c>
      <c r="C97" s="28">
        <f>CDCM!E194</f>
        <v>0</v>
      </c>
      <c r="D97" s="15">
        <f>0.01*CDCM!F$14*(CDCM!$E4230*CDCM!E194+CDCM!$F4230*CDCM!F194)+10*(CDCM!$B4230*CDCM!B194+CDCM!$C4230*CDCM!C194+CDCM!$D4230*CDCM!D194+CDCM!$G4230*CDCM!G194)</f>
        <v>686.99929959514702</v>
      </c>
      <c r="E97" s="15">
        <f>10*(CDCM!$B4230*CDCM!B194+CDCM!$C4230*CDCM!C194+CDCM!$D4230*CDCM!D194)</f>
        <v>686.99929959514702</v>
      </c>
      <c r="F97" s="15">
        <f>CDCM!E4230*CDCM!$F$14*CDCM!$E194/100</f>
        <v>0</v>
      </c>
      <c r="G97" s="15">
        <f>CDCM!F4230*CDCM!$F$14*CDCM!$F194/100</f>
        <v>0</v>
      </c>
      <c r="H97" s="15">
        <f>CDCM!G4230*CDCM!$G194*10</f>
        <v>0</v>
      </c>
      <c r="I97" s="6">
        <f>IF(B97&lt;&gt;0,0.1*D97/B97,"")</f>
        <v>1.7809999999999999</v>
      </c>
      <c r="J97" s="30" t="str">
        <f>IF(C97&lt;&gt;0,D97/C97,"")</f>
        <v/>
      </c>
      <c r="K97" s="6">
        <f>IF(B97&lt;&gt;0,0.1*E97/B97,0)</f>
        <v>1.7809999999999999</v>
      </c>
      <c r="L97" s="15">
        <f>CDCM!B4230*CDCM!$B194*10</f>
        <v>686.99929959514702</v>
      </c>
      <c r="M97" s="15">
        <f>CDCM!C4230*CDCM!$C194*10</f>
        <v>0</v>
      </c>
      <c r="N97" s="15">
        <f>CDCM!D4230*CDCM!$D194*10</f>
        <v>0</v>
      </c>
      <c r="O97" s="24">
        <f>IF(E97&lt;&gt;0,$L97/E97,"")</f>
        <v>1</v>
      </c>
      <c r="P97" s="24">
        <f>IF(E97&lt;&gt;0,$M97/E97,"")</f>
        <v>0</v>
      </c>
      <c r="Q97" s="24">
        <f>IF(E97&lt;&gt;0,$N97/E97,"")</f>
        <v>0</v>
      </c>
      <c r="R97" s="24">
        <f>IF(D97&lt;&gt;0,$F97/D97,"")</f>
        <v>0</v>
      </c>
      <c r="S97" s="24">
        <f>IF(D97&lt;&gt;0,$G97/D97,"")</f>
        <v>0</v>
      </c>
      <c r="T97" s="24">
        <f>IF(D97&lt;&gt;0,$H97/D97,"")</f>
        <v>0</v>
      </c>
      <c r="U97" s="10"/>
    </row>
    <row r="98" spans="1:21">
      <c r="A98" s="11" t="s">
        <v>178</v>
      </c>
      <c r="B98" s="15">
        <f>CDCM!B195+CDCM!C195+CDCM!D195</f>
        <v>180.42533538088671</v>
      </c>
      <c r="C98" s="28">
        <f>CDCM!E195</f>
        <v>0</v>
      </c>
      <c r="D98" s="15">
        <f>0.01*CDCM!F$14*(CDCM!$E4231*CDCM!E195+CDCM!$F4231*CDCM!F195)+10*(CDCM!$B4231*CDCM!B195+CDCM!$C4231*CDCM!C195+CDCM!$D4231*CDCM!D195+CDCM!$G4231*CDCM!G195)</f>
        <v>1706.8236727031881</v>
      </c>
      <c r="E98" s="15">
        <f>10*(CDCM!$B4231*CDCM!B195+CDCM!$C4231*CDCM!C195+CDCM!$D4231*CDCM!D195)</f>
        <v>1706.8236727031881</v>
      </c>
      <c r="F98" s="15">
        <f>CDCM!E4231*CDCM!$F$14*CDCM!$E195/100</f>
        <v>0</v>
      </c>
      <c r="G98" s="15">
        <f>CDCM!F4231*CDCM!$F$14*CDCM!$F195/100</f>
        <v>0</v>
      </c>
      <c r="H98" s="15">
        <f>CDCM!G4231*CDCM!$G195*10</f>
        <v>0</v>
      </c>
      <c r="I98" s="6">
        <f>IF(B98&lt;&gt;0,0.1*D98/B98,"")</f>
        <v>0.94599999999999995</v>
      </c>
      <c r="J98" s="30" t="str">
        <f>IF(C98&lt;&gt;0,D98/C98,"")</f>
        <v/>
      </c>
      <c r="K98" s="6">
        <f>IF(B98&lt;&gt;0,0.1*E98/B98,0)</f>
        <v>0.94599999999999995</v>
      </c>
      <c r="L98" s="15">
        <f>CDCM!B4231*CDCM!$B195*10</f>
        <v>1706.8236727031881</v>
      </c>
      <c r="M98" s="15">
        <f>CDCM!C4231*CDCM!$C195*10</f>
        <v>0</v>
      </c>
      <c r="N98" s="15">
        <f>CDCM!D4231*CDCM!$D195*10</f>
        <v>0</v>
      </c>
      <c r="O98" s="24">
        <f>IF(E98&lt;&gt;0,$L98/E98,"")</f>
        <v>1</v>
      </c>
      <c r="P98" s="24">
        <f>IF(E98&lt;&gt;0,$M98/E98,"")</f>
        <v>0</v>
      </c>
      <c r="Q98" s="24">
        <f>IF(E98&lt;&gt;0,$N98/E98,"")</f>
        <v>0</v>
      </c>
      <c r="R98" s="24">
        <f>IF(D98&lt;&gt;0,$F98/D98,"")</f>
        <v>0</v>
      </c>
      <c r="S98" s="24">
        <f>IF(D98&lt;&gt;0,$G98/D98,"")</f>
        <v>0</v>
      </c>
      <c r="T98" s="24">
        <f>IF(D98&lt;&gt;0,$H98/D98,"")</f>
        <v>0</v>
      </c>
      <c r="U98" s="10"/>
    </row>
    <row r="99" spans="1:21">
      <c r="A99" s="17" t="s">
        <v>179</v>
      </c>
      <c r="U99" s="10"/>
    </row>
    <row r="100" spans="1:21">
      <c r="A100" s="11" t="s">
        <v>132</v>
      </c>
      <c r="B100" s="15">
        <f>CDCM!B197+CDCM!C197+CDCM!D197</f>
        <v>5952.5744876907111</v>
      </c>
      <c r="C100" s="28">
        <f>CDCM!E197</f>
        <v>749</v>
      </c>
      <c r="D100" s="15">
        <f>0.01*CDCM!F$14*(CDCM!$E4233*CDCM!E197+CDCM!$F4233*CDCM!F197)+10*(CDCM!$B4233*CDCM!B197+CDCM!$C4233*CDCM!C197+CDCM!$D4233*CDCM!D197+CDCM!$G4233*CDCM!G197)</f>
        <v>176434.30781515269</v>
      </c>
      <c r="E100" s="15">
        <f>10*(CDCM!$B4233*CDCM!B197+CDCM!$C4233*CDCM!C197+CDCM!$D4233*CDCM!D197)</f>
        <v>176434.30781515269</v>
      </c>
      <c r="F100" s="15">
        <f>CDCM!E4233*CDCM!$F$14*CDCM!$E197/100</f>
        <v>0</v>
      </c>
      <c r="G100" s="15">
        <f>CDCM!F4233*CDCM!$F$14*CDCM!$F197/100</f>
        <v>0</v>
      </c>
      <c r="H100" s="15">
        <f>CDCM!G4233*CDCM!$G197*10</f>
        <v>0</v>
      </c>
      <c r="I100" s="6">
        <f>IF(B100&lt;&gt;0,0.1*D100/B100,"")</f>
        <v>2.964</v>
      </c>
      <c r="J100" s="30">
        <f>IF(C100&lt;&gt;0,D100/C100,"")</f>
        <v>235.55982351822789</v>
      </c>
      <c r="K100" s="6">
        <f>IF(B100&lt;&gt;0,0.1*E100/B100,0)</f>
        <v>2.964</v>
      </c>
      <c r="L100" s="15">
        <f>CDCM!B4233*CDCM!$B197*10</f>
        <v>176434.30781515269</v>
      </c>
      <c r="M100" s="15">
        <f>CDCM!C4233*CDCM!$C197*10</f>
        <v>0</v>
      </c>
      <c r="N100" s="15">
        <f>CDCM!D4233*CDCM!$D197*10</f>
        <v>0</v>
      </c>
      <c r="O100" s="24">
        <f>IF(E100&lt;&gt;0,$L100/E100,"")</f>
        <v>1</v>
      </c>
      <c r="P100" s="24">
        <f>IF(E100&lt;&gt;0,$M100/E100,"")</f>
        <v>0</v>
      </c>
      <c r="Q100" s="24">
        <f>IF(E100&lt;&gt;0,$N100/E100,"")</f>
        <v>0</v>
      </c>
      <c r="R100" s="24">
        <f>IF(D100&lt;&gt;0,$F100/D100,"")</f>
        <v>0</v>
      </c>
      <c r="S100" s="24">
        <f>IF(D100&lt;&gt;0,$G100/D100,"")</f>
        <v>0</v>
      </c>
      <c r="T100" s="24">
        <f>IF(D100&lt;&gt;0,$H100/D100,"")</f>
        <v>0</v>
      </c>
      <c r="U100" s="10"/>
    </row>
    <row r="101" spans="1:21">
      <c r="A101" s="11" t="s">
        <v>180</v>
      </c>
      <c r="B101" s="15">
        <f>CDCM!B198+CDCM!C198+CDCM!D198</f>
        <v>5.4179338644077735</v>
      </c>
      <c r="C101" s="28">
        <f>CDCM!E198</f>
        <v>0</v>
      </c>
      <c r="D101" s="15">
        <f>0.01*CDCM!F$14*(CDCM!$E4234*CDCM!E198+CDCM!$F4234*CDCM!F198)+10*(CDCM!$B4234*CDCM!B198+CDCM!$C4234*CDCM!C198+CDCM!$D4234*CDCM!D198+CDCM!$G4234*CDCM!G198)</f>
        <v>109.27972604510478</v>
      </c>
      <c r="E101" s="15">
        <f>10*(CDCM!$B4234*CDCM!B198+CDCM!$C4234*CDCM!C198+CDCM!$D4234*CDCM!D198)</f>
        <v>109.27972604510478</v>
      </c>
      <c r="F101" s="15">
        <f>CDCM!E4234*CDCM!$F$14*CDCM!$E198/100</f>
        <v>0</v>
      </c>
      <c r="G101" s="15">
        <f>CDCM!F4234*CDCM!$F$14*CDCM!$F198/100</f>
        <v>0</v>
      </c>
      <c r="H101" s="15">
        <f>CDCM!G4234*CDCM!$G198*10</f>
        <v>0</v>
      </c>
      <c r="I101" s="6">
        <f>IF(B101&lt;&gt;0,0.1*D101/B101,"")</f>
        <v>2.0169999999999999</v>
      </c>
      <c r="J101" s="30" t="str">
        <f>IF(C101&lt;&gt;0,D101/C101,"")</f>
        <v/>
      </c>
      <c r="K101" s="6">
        <f>IF(B101&lt;&gt;0,0.1*E101/B101,0)</f>
        <v>2.0169999999999999</v>
      </c>
      <c r="L101" s="15">
        <f>CDCM!B4234*CDCM!$B198*10</f>
        <v>109.27972604510478</v>
      </c>
      <c r="M101" s="15">
        <f>CDCM!C4234*CDCM!$C198*10</f>
        <v>0</v>
      </c>
      <c r="N101" s="15">
        <f>CDCM!D4234*CDCM!$D198*10</f>
        <v>0</v>
      </c>
      <c r="O101" s="24">
        <f>IF(E101&lt;&gt;0,$L101/E101,"")</f>
        <v>1</v>
      </c>
      <c r="P101" s="24">
        <f>IF(E101&lt;&gt;0,$M101/E101,"")</f>
        <v>0</v>
      </c>
      <c r="Q101" s="24">
        <f>IF(E101&lt;&gt;0,$N101/E101,"")</f>
        <v>0</v>
      </c>
      <c r="R101" s="24">
        <f>IF(D101&lt;&gt;0,$F101/D101,"")</f>
        <v>0</v>
      </c>
      <c r="S101" s="24">
        <f>IF(D101&lt;&gt;0,$G101/D101,"")</f>
        <v>0</v>
      </c>
      <c r="T101" s="24">
        <f>IF(D101&lt;&gt;0,$H101/D101,"")</f>
        <v>0</v>
      </c>
      <c r="U101" s="10"/>
    </row>
    <row r="102" spans="1:21">
      <c r="A102" s="11" t="s">
        <v>181</v>
      </c>
      <c r="B102" s="15">
        <f>CDCM!B199+CDCM!C199+CDCM!D199</f>
        <v>258.82704553611961</v>
      </c>
      <c r="C102" s="28">
        <f>CDCM!E199</f>
        <v>0</v>
      </c>
      <c r="D102" s="15">
        <f>0.01*CDCM!F$14*(CDCM!$E4235*CDCM!E199+CDCM!$F4235*CDCM!F199)+10*(CDCM!$B4235*CDCM!B199+CDCM!$C4235*CDCM!C199+CDCM!$D4235*CDCM!D199+CDCM!$G4235*CDCM!G199)</f>
        <v>2774.6259281472026</v>
      </c>
      <c r="E102" s="15">
        <f>10*(CDCM!$B4235*CDCM!B199+CDCM!$C4235*CDCM!C199+CDCM!$D4235*CDCM!D199)</f>
        <v>2774.6259281472026</v>
      </c>
      <c r="F102" s="15">
        <f>CDCM!E4235*CDCM!$F$14*CDCM!$E199/100</f>
        <v>0</v>
      </c>
      <c r="G102" s="15">
        <f>CDCM!F4235*CDCM!$F$14*CDCM!$F199/100</f>
        <v>0</v>
      </c>
      <c r="H102" s="15">
        <f>CDCM!G4235*CDCM!$G199*10</f>
        <v>0</v>
      </c>
      <c r="I102" s="6">
        <f>IF(B102&lt;&gt;0,0.1*D102/B102,"")</f>
        <v>1.0720000000000001</v>
      </c>
      <c r="J102" s="30" t="str">
        <f>IF(C102&lt;&gt;0,D102/C102,"")</f>
        <v/>
      </c>
      <c r="K102" s="6">
        <f>IF(B102&lt;&gt;0,0.1*E102/B102,0)</f>
        <v>1.0720000000000001</v>
      </c>
      <c r="L102" s="15">
        <f>CDCM!B4235*CDCM!$B199*10</f>
        <v>2774.6259281472026</v>
      </c>
      <c r="M102" s="15">
        <f>CDCM!C4235*CDCM!$C199*10</f>
        <v>0</v>
      </c>
      <c r="N102" s="15">
        <f>CDCM!D4235*CDCM!$D199*10</f>
        <v>0</v>
      </c>
      <c r="O102" s="24">
        <f>IF(E102&lt;&gt;0,$L102/E102,"")</f>
        <v>1</v>
      </c>
      <c r="P102" s="24">
        <f>IF(E102&lt;&gt;0,$M102/E102,"")</f>
        <v>0</v>
      </c>
      <c r="Q102" s="24">
        <f>IF(E102&lt;&gt;0,$N102/E102,"")</f>
        <v>0</v>
      </c>
      <c r="R102" s="24">
        <f>IF(D102&lt;&gt;0,$F102/D102,"")</f>
        <v>0</v>
      </c>
      <c r="S102" s="24">
        <f>IF(D102&lt;&gt;0,$G102/D102,"")</f>
        <v>0</v>
      </c>
      <c r="T102" s="24">
        <f>IF(D102&lt;&gt;0,$H102/D102,"")</f>
        <v>0</v>
      </c>
      <c r="U102" s="10"/>
    </row>
    <row r="103" spans="1:21">
      <c r="A103" s="17" t="s">
        <v>182</v>
      </c>
      <c r="U103" s="10"/>
    </row>
    <row r="104" spans="1:21">
      <c r="A104" s="11" t="s">
        <v>133</v>
      </c>
      <c r="B104" s="15">
        <f>CDCM!B201+CDCM!C201+CDCM!D201</f>
        <v>378.27038018128798</v>
      </c>
      <c r="C104" s="28">
        <f>CDCM!E201</f>
        <v>84</v>
      </c>
      <c r="D104" s="15">
        <f>0.01*CDCM!F$14*(CDCM!$E4237*CDCM!E201+CDCM!$F4237*CDCM!F201)+10*(CDCM!$B4237*CDCM!B201+CDCM!$C4237*CDCM!C201+CDCM!$D4237*CDCM!D201+CDCM!$G4237*CDCM!G201)</f>
        <v>16719.550804012928</v>
      </c>
      <c r="E104" s="15">
        <f>10*(CDCM!$B4237*CDCM!B201+CDCM!$C4237*CDCM!C201+CDCM!$D4237*CDCM!D201)</f>
        <v>16719.550804012928</v>
      </c>
      <c r="F104" s="15">
        <f>CDCM!E4237*CDCM!$F$14*CDCM!$E201/100</f>
        <v>0</v>
      </c>
      <c r="G104" s="15">
        <f>CDCM!F4237*CDCM!$F$14*CDCM!$F201/100</f>
        <v>0</v>
      </c>
      <c r="H104" s="15">
        <f>CDCM!G4237*CDCM!$G201*10</f>
        <v>0</v>
      </c>
      <c r="I104" s="6">
        <f>IF(B104&lt;&gt;0,0.1*D104/B104,"")</f>
        <v>4.42</v>
      </c>
      <c r="J104" s="30">
        <f>IF(C104&lt;&gt;0,D104/C104,"")</f>
        <v>199.04227147634438</v>
      </c>
      <c r="K104" s="6">
        <f>IF(B104&lt;&gt;0,0.1*E104/B104,0)</f>
        <v>4.42</v>
      </c>
      <c r="L104" s="15">
        <f>CDCM!B4237*CDCM!$B201*10</f>
        <v>16719.550804012928</v>
      </c>
      <c r="M104" s="15">
        <f>CDCM!C4237*CDCM!$C201*10</f>
        <v>0</v>
      </c>
      <c r="N104" s="15">
        <f>CDCM!D4237*CDCM!$D201*10</f>
        <v>0</v>
      </c>
      <c r="O104" s="24">
        <f>IF(E104&lt;&gt;0,$L104/E104,"")</f>
        <v>1</v>
      </c>
      <c r="P104" s="24">
        <f>IF(E104&lt;&gt;0,$M104/E104,"")</f>
        <v>0</v>
      </c>
      <c r="Q104" s="24">
        <f>IF(E104&lt;&gt;0,$N104/E104,"")</f>
        <v>0</v>
      </c>
      <c r="R104" s="24">
        <f>IF(D104&lt;&gt;0,$F104/D104,"")</f>
        <v>0</v>
      </c>
      <c r="S104" s="24">
        <f>IF(D104&lt;&gt;0,$G104/D104,"")</f>
        <v>0</v>
      </c>
      <c r="T104" s="24">
        <f>IF(D104&lt;&gt;0,$H104/D104,"")</f>
        <v>0</v>
      </c>
      <c r="U104" s="10"/>
    </row>
    <row r="105" spans="1:21">
      <c r="A105" s="11" t="s">
        <v>183</v>
      </c>
      <c r="B105" s="15">
        <f>CDCM!B202+CDCM!C202+CDCM!D202</f>
        <v>0</v>
      </c>
      <c r="C105" s="28">
        <f>CDCM!E202</f>
        <v>0</v>
      </c>
      <c r="D105" s="15">
        <f>0.01*CDCM!F$14*(CDCM!$E4238*CDCM!E202+CDCM!$F4238*CDCM!F202)+10*(CDCM!$B4238*CDCM!B202+CDCM!$C4238*CDCM!C202+CDCM!$D4238*CDCM!D202+CDCM!$G4238*CDCM!G202)</f>
        <v>0</v>
      </c>
      <c r="E105" s="15">
        <f>10*(CDCM!$B4238*CDCM!B202+CDCM!$C4238*CDCM!C202+CDCM!$D4238*CDCM!D202)</f>
        <v>0</v>
      </c>
      <c r="F105" s="15">
        <f>CDCM!E4238*CDCM!$F$14*CDCM!$E202/100</f>
        <v>0</v>
      </c>
      <c r="G105" s="15">
        <f>CDCM!F4238*CDCM!$F$14*CDCM!$F202/100</f>
        <v>0</v>
      </c>
      <c r="H105" s="15">
        <f>CDCM!G4238*CDCM!$G202*10</f>
        <v>0</v>
      </c>
      <c r="I105" s="6" t="str">
        <f>IF(B105&lt;&gt;0,0.1*D105/B105,"")</f>
        <v/>
      </c>
      <c r="J105" s="30" t="str">
        <f>IF(C105&lt;&gt;0,D105/C105,"")</f>
        <v/>
      </c>
      <c r="K105" s="6">
        <f>IF(B105&lt;&gt;0,0.1*E105/B105,0)</f>
        <v>0</v>
      </c>
      <c r="L105" s="15">
        <f>CDCM!B4238*CDCM!$B202*10</f>
        <v>0</v>
      </c>
      <c r="M105" s="15">
        <f>CDCM!C4238*CDCM!$C202*10</f>
        <v>0</v>
      </c>
      <c r="N105" s="15">
        <f>CDCM!D4238*CDCM!$D202*10</f>
        <v>0</v>
      </c>
      <c r="O105" s="24" t="str">
        <f>IF(E105&lt;&gt;0,$L105/E105,"")</f>
        <v/>
      </c>
      <c r="P105" s="24" t="str">
        <f>IF(E105&lt;&gt;0,$M105/E105,"")</f>
        <v/>
      </c>
      <c r="Q105" s="24" t="str">
        <f>IF(E105&lt;&gt;0,$N105/E105,"")</f>
        <v/>
      </c>
      <c r="R105" s="24" t="str">
        <f>IF(D105&lt;&gt;0,$F105/D105,"")</f>
        <v/>
      </c>
      <c r="S105" s="24" t="str">
        <f>IF(D105&lt;&gt;0,$G105/D105,"")</f>
        <v/>
      </c>
      <c r="T105" s="24" t="str">
        <f>IF(D105&lt;&gt;0,$H105/D105,"")</f>
        <v/>
      </c>
      <c r="U105" s="10"/>
    </row>
    <row r="106" spans="1:21">
      <c r="A106" s="11" t="s">
        <v>184</v>
      </c>
      <c r="B106" s="15">
        <f>CDCM!B203+CDCM!C203+CDCM!D203</f>
        <v>0</v>
      </c>
      <c r="C106" s="28">
        <f>CDCM!E203</f>
        <v>0</v>
      </c>
      <c r="D106" s="15">
        <f>0.01*CDCM!F$14*(CDCM!$E4239*CDCM!E203+CDCM!$F4239*CDCM!F203)+10*(CDCM!$B4239*CDCM!B203+CDCM!$C4239*CDCM!C203+CDCM!$D4239*CDCM!D203+CDCM!$G4239*CDCM!G203)</f>
        <v>0</v>
      </c>
      <c r="E106" s="15">
        <f>10*(CDCM!$B4239*CDCM!B203+CDCM!$C4239*CDCM!C203+CDCM!$D4239*CDCM!D203)</f>
        <v>0</v>
      </c>
      <c r="F106" s="15">
        <f>CDCM!E4239*CDCM!$F$14*CDCM!$E203/100</f>
        <v>0</v>
      </c>
      <c r="G106" s="15">
        <f>CDCM!F4239*CDCM!$F$14*CDCM!$F203/100</f>
        <v>0</v>
      </c>
      <c r="H106" s="15">
        <f>CDCM!G4239*CDCM!$G203*10</f>
        <v>0</v>
      </c>
      <c r="I106" s="6" t="str">
        <f>IF(B106&lt;&gt;0,0.1*D106/B106,"")</f>
        <v/>
      </c>
      <c r="J106" s="30" t="str">
        <f>IF(C106&lt;&gt;0,D106/C106,"")</f>
        <v/>
      </c>
      <c r="K106" s="6">
        <f>IF(B106&lt;&gt;0,0.1*E106/B106,0)</f>
        <v>0</v>
      </c>
      <c r="L106" s="15">
        <f>CDCM!B4239*CDCM!$B203*10</f>
        <v>0</v>
      </c>
      <c r="M106" s="15">
        <f>CDCM!C4239*CDCM!$C203*10</f>
        <v>0</v>
      </c>
      <c r="N106" s="15">
        <f>CDCM!D4239*CDCM!$D203*10</f>
        <v>0</v>
      </c>
      <c r="O106" s="24" t="str">
        <f>IF(E106&lt;&gt;0,$L106/E106,"")</f>
        <v/>
      </c>
      <c r="P106" s="24" t="str">
        <f>IF(E106&lt;&gt;0,$M106/E106,"")</f>
        <v/>
      </c>
      <c r="Q106" s="24" t="str">
        <f>IF(E106&lt;&gt;0,$N106/E106,"")</f>
        <v/>
      </c>
      <c r="R106" s="24" t="str">
        <f>IF(D106&lt;&gt;0,$F106/D106,"")</f>
        <v/>
      </c>
      <c r="S106" s="24" t="str">
        <f>IF(D106&lt;&gt;0,$G106/D106,"")</f>
        <v/>
      </c>
      <c r="T106" s="24" t="str">
        <f>IF(D106&lt;&gt;0,$H106/D106,"")</f>
        <v/>
      </c>
      <c r="U106" s="10"/>
    </row>
    <row r="107" spans="1:21">
      <c r="A107" s="17" t="s">
        <v>185</v>
      </c>
      <c r="U107" s="10"/>
    </row>
    <row r="108" spans="1:21">
      <c r="A108" s="11" t="s">
        <v>134</v>
      </c>
      <c r="B108" s="15">
        <f>CDCM!B205+CDCM!C205+CDCM!D205</f>
        <v>0</v>
      </c>
      <c r="C108" s="28">
        <f>CDCM!E205</f>
        <v>1</v>
      </c>
      <c r="D108" s="15">
        <f>0.01*CDCM!F$14*(CDCM!$E4241*CDCM!E205+CDCM!$F4241*CDCM!F205)+10*(CDCM!$B4241*CDCM!B205+CDCM!$C4241*CDCM!C205+CDCM!$D4241*CDCM!D205+CDCM!$G4241*CDCM!G205)</f>
        <v>0</v>
      </c>
      <c r="E108" s="15">
        <f>10*(CDCM!$B4241*CDCM!B205+CDCM!$C4241*CDCM!C205+CDCM!$D4241*CDCM!D205)</f>
        <v>0</v>
      </c>
      <c r="F108" s="15">
        <f>CDCM!E4241*CDCM!$F$14*CDCM!$E205/100</f>
        <v>0</v>
      </c>
      <c r="G108" s="15">
        <f>CDCM!F4241*CDCM!$F$14*CDCM!$F205/100</f>
        <v>0</v>
      </c>
      <c r="H108" s="15">
        <f>CDCM!G4241*CDCM!$G205*10</f>
        <v>0</v>
      </c>
      <c r="I108" s="6" t="str">
        <f>IF(B108&lt;&gt;0,0.1*D108/B108,"")</f>
        <v/>
      </c>
      <c r="J108" s="30">
        <f>IF(C108&lt;&gt;0,D108/C108,"")</f>
        <v>0</v>
      </c>
      <c r="K108" s="6">
        <f>IF(B108&lt;&gt;0,0.1*E108/B108,0)</f>
        <v>0</v>
      </c>
      <c r="L108" s="15">
        <f>CDCM!B4241*CDCM!$B205*10</f>
        <v>0</v>
      </c>
      <c r="M108" s="15">
        <f>CDCM!C4241*CDCM!$C205*10</f>
        <v>0</v>
      </c>
      <c r="N108" s="15">
        <f>CDCM!D4241*CDCM!$D205*10</f>
        <v>0</v>
      </c>
      <c r="O108" s="24" t="str">
        <f>IF(E108&lt;&gt;0,$L108/E108,"")</f>
        <v/>
      </c>
      <c r="P108" s="24" t="str">
        <f>IF(E108&lt;&gt;0,$M108/E108,"")</f>
        <v/>
      </c>
      <c r="Q108" s="24" t="str">
        <f>IF(E108&lt;&gt;0,$N108/E108,"")</f>
        <v/>
      </c>
      <c r="R108" s="24" t="str">
        <f>IF(D108&lt;&gt;0,$F108/D108,"")</f>
        <v/>
      </c>
      <c r="S108" s="24" t="str">
        <f>IF(D108&lt;&gt;0,$G108/D108,"")</f>
        <v/>
      </c>
      <c r="T108" s="24" t="str">
        <f>IF(D108&lt;&gt;0,$H108/D108,"")</f>
        <v/>
      </c>
      <c r="U108" s="10"/>
    </row>
    <row r="109" spans="1:21">
      <c r="A109" s="11" t="s">
        <v>186</v>
      </c>
      <c r="B109" s="15">
        <f>CDCM!B206+CDCM!C206+CDCM!D206</f>
        <v>0</v>
      </c>
      <c r="C109" s="28">
        <f>CDCM!E206</f>
        <v>0</v>
      </c>
      <c r="D109" s="15">
        <f>0.01*CDCM!F$14*(CDCM!$E4242*CDCM!E206+CDCM!$F4242*CDCM!F206)+10*(CDCM!$B4242*CDCM!B206+CDCM!$C4242*CDCM!C206+CDCM!$D4242*CDCM!D206+CDCM!$G4242*CDCM!G206)</f>
        <v>0</v>
      </c>
      <c r="E109" s="15">
        <f>10*(CDCM!$B4242*CDCM!B206+CDCM!$C4242*CDCM!C206+CDCM!$D4242*CDCM!D206)</f>
        <v>0</v>
      </c>
      <c r="F109" s="15">
        <f>CDCM!E4242*CDCM!$F$14*CDCM!$E206/100</f>
        <v>0</v>
      </c>
      <c r="G109" s="15">
        <f>CDCM!F4242*CDCM!$F$14*CDCM!$F206/100</f>
        <v>0</v>
      </c>
      <c r="H109" s="15">
        <f>CDCM!G4242*CDCM!$G206*10</f>
        <v>0</v>
      </c>
      <c r="I109" s="6" t="str">
        <f>IF(B109&lt;&gt;0,0.1*D109/B109,"")</f>
        <v/>
      </c>
      <c r="J109" s="30" t="str">
        <f>IF(C109&lt;&gt;0,D109/C109,"")</f>
        <v/>
      </c>
      <c r="K109" s="6">
        <f>IF(B109&lt;&gt;0,0.1*E109/B109,0)</f>
        <v>0</v>
      </c>
      <c r="L109" s="15">
        <f>CDCM!B4242*CDCM!$B206*10</f>
        <v>0</v>
      </c>
      <c r="M109" s="15">
        <f>CDCM!C4242*CDCM!$C206*10</f>
        <v>0</v>
      </c>
      <c r="N109" s="15">
        <f>CDCM!D4242*CDCM!$D206*10</f>
        <v>0</v>
      </c>
      <c r="O109" s="24" t="str">
        <f>IF(E109&lt;&gt;0,$L109/E109,"")</f>
        <v/>
      </c>
      <c r="P109" s="24" t="str">
        <f>IF(E109&lt;&gt;0,$M109/E109,"")</f>
        <v/>
      </c>
      <c r="Q109" s="24" t="str">
        <f>IF(E109&lt;&gt;0,$N109/E109,"")</f>
        <v/>
      </c>
      <c r="R109" s="24" t="str">
        <f>IF(D109&lt;&gt;0,$F109/D109,"")</f>
        <v/>
      </c>
      <c r="S109" s="24" t="str">
        <f>IF(D109&lt;&gt;0,$G109/D109,"")</f>
        <v/>
      </c>
      <c r="T109" s="24" t="str">
        <f>IF(D109&lt;&gt;0,$H109/D109,"")</f>
        <v/>
      </c>
      <c r="U109" s="10"/>
    </row>
    <row r="110" spans="1:21">
      <c r="A110" s="11" t="s">
        <v>187</v>
      </c>
      <c r="B110" s="15">
        <f>CDCM!B207+CDCM!C207+CDCM!D207</f>
        <v>0</v>
      </c>
      <c r="C110" s="28">
        <f>CDCM!E207</f>
        <v>0</v>
      </c>
      <c r="D110" s="15">
        <f>0.01*CDCM!F$14*(CDCM!$E4243*CDCM!E207+CDCM!$F4243*CDCM!F207)+10*(CDCM!$B4243*CDCM!B207+CDCM!$C4243*CDCM!C207+CDCM!$D4243*CDCM!D207+CDCM!$G4243*CDCM!G207)</f>
        <v>0</v>
      </c>
      <c r="E110" s="15">
        <f>10*(CDCM!$B4243*CDCM!B207+CDCM!$C4243*CDCM!C207+CDCM!$D4243*CDCM!D207)</f>
        <v>0</v>
      </c>
      <c r="F110" s="15">
        <f>CDCM!E4243*CDCM!$F$14*CDCM!$E207/100</f>
        <v>0</v>
      </c>
      <c r="G110" s="15">
        <f>CDCM!F4243*CDCM!$F$14*CDCM!$F207/100</f>
        <v>0</v>
      </c>
      <c r="H110" s="15">
        <f>CDCM!G4243*CDCM!$G207*10</f>
        <v>0</v>
      </c>
      <c r="I110" s="6" t="str">
        <f>IF(B110&lt;&gt;0,0.1*D110/B110,"")</f>
        <v/>
      </c>
      <c r="J110" s="30" t="str">
        <f>IF(C110&lt;&gt;0,D110/C110,"")</f>
        <v/>
      </c>
      <c r="K110" s="6">
        <f>IF(B110&lt;&gt;0,0.1*E110/B110,0)</f>
        <v>0</v>
      </c>
      <c r="L110" s="15">
        <f>CDCM!B4243*CDCM!$B207*10</f>
        <v>0</v>
      </c>
      <c r="M110" s="15">
        <f>CDCM!C4243*CDCM!$C207*10</f>
        <v>0</v>
      </c>
      <c r="N110" s="15">
        <f>CDCM!D4243*CDCM!$D207*10</f>
        <v>0</v>
      </c>
      <c r="O110" s="24" t="str">
        <f>IF(E110&lt;&gt;0,$L110/E110,"")</f>
        <v/>
      </c>
      <c r="P110" s="24" t="str">
        <f>IF(E110&lt;&gt;0,$M110/E110,"")</f>
        <v/>
      </c>
      <c r="Q110" s="24" t="str">
        <f>IF(E110&lt;&gt;0,$N110/E110,"")</f>
        <v/>
      </c>
      <c r="R110" s="24" t="str">
        <f>IF(D110&lt;&gt;0,$F110/D110,"")</f>
        <v/>
      </c>
      <c r="S110" s="24" t="str">
        <f>IF(D110&lt;&gt;0,$G110/D110,"")</f>
        <v/>
      </c>
      <c r="T110" s="24" t="str">
        <f>IF(D110&lt;&gt;0,$H110/D110,"")</f>
        <v/>
      </c>
      <c r="U110" s="10"/>
    </row>
    <row r="111" spans="1:21">
      <c r="A111" s="17" t="s">
        <v>188</v>
      </c>
      <c r="U111" s="10"/>
    </row>
    <row r="112" spans="1:21">
      <c r="A112" s="11" t="s">
        <v>135</v>
      </c>
      <c r="B112" s="15">
        <f>CDCM!B209+CDCM!C209+CDCM!D209</f>
        <v>144605.38818021171</v>
      </c>
      <c r="C112" s="28">
        <f>CDCM!E209</f>
        <v>26</v>
      </c>
      <c r="D112" s="15">
        <f>0.01*CDCM!F$14*(CDCM!$E4245*CDCM!E209+CDCM!$F4245*CDCM!F209)+10*(CDCM!$B4245*CDCM!B209+CDCM!$C4245*CDCM!C209+CDCM!$D4245*CDCM!D209+CDCM!$G4245*CDCM!G209)</f>
        <v>4404514.0526711363</v>
      </c>
      <c r="E112" s="15">
        <f>10*(CDCM!$B4245*CDCM!B209+CDCM!$C4245*CDCM!C209+CDCM!$D4245*CDCM!D209)</f>
        <v>4404514.0526711363</v>
      </c>
      <c r="F112" s="15">
        <f>CDCM!E4245*CDCM!$F$14*CDCM!$E209/100</f>
        <v>0</v>
      </c>
      <c r="G112" s="15">
        <f>CDCM!F4245*CDCM!$F$14*CDCM!$F209/100</f>
        <v>0</v>
      </c>
      <c r="H112" s="15">
        <f>CDCM!G4245*CDCM!$G209*10</f>
        <v>0</v>
      </c>
      <c r="I112" s="6">
        <f>IF(B112&lt;&gt;0,0.1*D112/B112,"")</f>
        <v>3.0458851555255291</v>
      </c>
      <c r="J112" s="30">
        <f>IF(C112&lt;&gt;0,D112/C112,"")</f>
        <v>169404.38664119755</v>
      </c>
      <c r="K112" s="6">
        <f>IF(B112&lt;&gt;0,0.1*E112/B112,0)</f>
        <v>3.0458851555255291</v>
      </c>
      <c r="L112" s="15">
        <f>CDCM!B4245*CDCM!$B209*10</f>
        <v>2464831.2720408747</v>
      </c>
      <c r="M112" s="15">
        <f>CDCM!C4245*CDCM!$C209*10</f>
        <v>940711.95393345412</v>
      </c>
      <c r="N112" s="15">
        <f>CDCM!D4245*CDCM!$D209*10</f>
        <v>998970.82669680705</v>
      </c>
      <c r="O112" s="24">
        <f>IF(E112&lt;&gt;0,$L112/E112,"")</f>
        <v>0.55961480484914494</v>
      </c>
      <c r="P112" s="24">
        <f>IF(E112&lt;&gt;0,$M112/E112,"")</f>
        <v>0.21357905609654154</v>
      </c>
      <c r="Q112" s="24">
        <f>IF(E112&lt;&gt;0,$N112/E112,"")</f>
        <v>0.22680613905431338</v>
      </c>
      <c r="R112" s="24">
        <f>IF(D112&lt;&gt;0,$F112/D112,"")</f>
        <v>0</v>
      </c>
      <c r="S112" s="24">
        <f>IF(D112&lt;&gt;0,$G112/D112,"")</f>
        <v>0</v>
      </c>
      <c r="T112" s="24">
        <f>IF(D112&lt;&gt;0,$H112/D112,"")</f>
        <v>0</v>
      </c>
      <c r="U112" s="10"/>
    </row>
    <row r="113" spans="1:21">
      <c r="A113" s="11" t="s">
        <v>189</v>
      </c>
      <c r="B113" s="15">
        <f>CDCM!B210+CDCM!C210+CDCM!D210</f>
        <v>0</v>
      </c>
      <c r="C113" s="28">
        <f>CDCM!E210</f>
        <v>0</v>
      </c>
      <c r="D113" s="15">
        <f>0.01*CDCM!F$14*(CDCM!$E4246*CDCM!E210+CDCM!$F4246*CDCM!F210)+10*(CDCM!$B4246*CDCM!B210+CDCM!$C4246*CDCM!C210+CDCM!$D4246*CDCM!D210+CDCM!$G4246*CDCM!G210)</f>
        <v>0</v>
      </c>
      <c r="E113" s="15">
        <f>10*(CDCM!$B4246*CDCM!B210+CDCM!$C4246*CDCM!C210+CDCM!$D4246*CDCM!D210)</f>
        <v>0</v>
      </c>
      <c r="F113" s="15">
        <f>CDCM!E4246*CDCM!$F$14*CDCM!$E210/100</f>
        <v>0</v>
      </c>
      <c r="G113" s="15">
        <f>CDCM!F4246*CDCM!$F$14*CDCM!$F210/100</f>
        <v>0</v>
      </c>
      <c r="H113" s="15">
        <f>CDCM!G4246*CDCM!$G210*10</f>
        <v>0</v>
      </c>
      <c r="I113" s="6" t="str">
        <f>IF(B113&lt;&gt;0,0.1*D113/B113,"")</f>
        <v/>
      </c>
      <c r="J113" s="30" t="str">
        <f>IF(C113&lt;&gt;0,D113/C113,"")</f>
        <v/>
      </c>
      <c r="K113" s="6">
        <f>IF(B113&lt;&gt;0,0.1*E113/B113,0)</f>
        <v>0</v>
      </c>
      <c r="L113" s="15">
        <f>CDCM!B4246*CDCM!$B210*10</f>
        <v>0</v>
      </c>
      <c r="M113" s="15">
        <f>CDCM!C4246*CDCM!$C210*10</f>
        <v>0</v>
      </c>
      <c r="N113" s="15">
        <f>CDCM!D4246*CDCM!$D210*10</f>
        <v>0</v>
      </c>
      <c r="O113" s="24" t="str">
        <f>IF(E113&lt;&gt;0,$L113/E113,"")</f>
        <v/>
      </c>
      <c r="P113" s="24" t="str">
        <f>IF(E113&lt;&gt;0,$M113/E113,"")</f>
        <v/>
      </c>
      <c r="Q113" s="24" t="str">
        <f>IF(E113&lt;&gt;0,$N113/E113,"")</f>
        <v/>
      </c>
      <c r="R113" s="24" t="str">
        <f>IF(D113&lt;&gt;0,$F113/D113,"")</f>
        <v/>
      </c>
      <c r="S113" s="24" t="str">
        <f>IF(D113&lt;&gt;0,$G113/D113,"")</f>
        <v/>
      </c>
      <c r="T113" s="24" t="str">
        <f>IF(D113&lt;&gt;0,$H113/D113,"")</f>
        <v/>
      </c>
      <c r="U113" s="10"/>
    </row>
    <row r="114" spans="1:21">
      <c r="A114" s="11" t="s">
        <v>190</v>
      </c>
      <c r="B114" s="15">
        <f>CDCM!B211+CDCM!C211+CDCM!D211</f>
        <v>0</v>
      </c>
      <c r="C114" s="28">
        <f>CDCM!E211</f>
        <v>0</v>
      </c>
      <c r="D114" s="15">
        <f>0.01*CDCM!F$14*(CDCM!$E4247*CDCM!E211+CDCM!$F4247*CDCM!F211)+10*(CDCM!$B4247*CDCM!B211+CDCM!$C4247*CDCM!C211+CDCM!$D4247*CDCM!D211+CDCM!$G4247*CDCM!G211)</f>
        <v>0</v>
      </c>
      <c r="E114" s="15">
        <f>10*(CDCM!$B4247*CDCM!B211+CDCM!$C4247*CDCM!C211+CDCM!$D4247*CDCM!D211)</f>
        <v>0</v>
      </c>
      <c r="F114" s="15">
        <f>CDCM!E4247*CDCM!$F$14*CDCM!$E211/100</f>
        <v>0</v>
      </c>
      <c r="G114" s="15">
        <f>CDCM!F4247*CDCM!$F$14*CDCM!$F211/100</f>
        <v>0</v>
      </c>
      <c r="H114" s="15">
        <f>CDCM!G4247*CDCM!$G211*10</f>
        <v>0</v>
      </c>
      <c r="I114" s="6" t="str">
        <f>IF(B114&lt;&gt;0,0.1*D114/B114,"")</f>
        <v/>
      </c>
      <c r="J114" s="30" t="str">
        <f>IF(C114&lt;&gt;0,D114/C114,"")</f>
        <v/>
      </c>
      <c r="K114" s="6">
        <f>IF(B114&lt;&gt;0,0.1*E114/B114,0)</f>
        <v>0</v>
      </c>
      <c r="L114" s="15">
        <f>CDCM!B4247*CDCM!$B211*10</f>
        <v>0</v>
      </c>
      <c r="M114" s="15">
        <f>CDCM!C4247*CDCM!$C211*10</f>
        <v>0</v>
      </c>
      <c r="N114" s="15">
        <f>CDCM!D4247*CDCM!$D211*10</f>
        <v>0</v>
      </c>
      <c r="O114" s="24" t="str">
        <f>IF(E114&lt;&gt;0,$L114/E114,"")</f>
        <v/>
      </c>
      <c r="P114" s="24" t="str">
        <f>IF(E114&lt;&gt;0,$M114/E114,"")</f>
        <v/>
      </c>
      <c r="Q114" s="24" t="str">
        <f>IF(E114&lt;&gt;0,$N114/E114,"")</f>
        <v/>
      </c>
      <c r="R114" s="24" t="str">
        <f>IF(D114&lt;&gt;0,$F114/D114,"")</f>
        <v/>
      </c>
      <c r="S114" s="24" t="str">
        <f>IF(D114&lt;&gt;0,$G114/D114,"")</f>
        <v/>
      </c>
      <c r="T114" s="24" t="str">
        <f>IF(D114&lt;&gt;0,$H114/D114,"")</f>
        <v/>
      </c>
      <c r="U114" s="10"/>
    </row>
    <row r="115" spans="1:21">
      <c r="A115" s="17" t="s">
        <v>1648</v>
      </c>
      <c r="U115" s="10"/>
    </row>
    <row r="116" spans="1:21">
      <c r="A116" s="11" t="s">
        <v>1645</v>
      </c>
      <c r="B116" s="15">
        <f>CDCM!B213+CDCM!C213+CDCM!D213</f>
        <v>602.29748729184382</v>
      </c>
      <c r="C116" s="28">
        <f>CDCM!E213</f>
        <v>130</v>
      </c>
      <c r="D116" s="15">
        <f>0.01*CDCM!F$14*(CDCM!$E4249*CDCM!E213+CDCM!$F4249*CDCM!F213)+10*(CDCM!$B4249*CDCM!B213+CDCM!$C4249*CDCM!C213+CDCM!$D4249*CDCM!D213+CDCM!$G4249*CDCM!G213)</f>
        <v>-5324.3097876598995</v>
      </c>
      <c r="E116" s="15">
        <f>10*(CDCM!$B4249*CDCM!B213+CDCM!$C4249*CDCM!C213+CDCM!$D4249*CDCM!D213)</f>
        <v>-5324.3097876598995</v>
      </c>
      <c r="F116" s="15">
        <f>CDCM!E4249*CDCM!$F$14*CDCM!$E213/100</f>
        <v>0</v>
      </c>
      <c r="G116" s="15">
        <f>CDCM!F4249*CDCM!$F$14*CDCM!$F213/100</f>
        <v>0</v>
      </c>
      <c r="H116" s="15">
        <f>CDCM!G4249*CDCM!$G213*10</f>
        <v>0</v>
      </c>
      <c r="I116" s="6">
        <f>IF(B116&lt;&gt;0,0.1*D116/B116,"")</f>
        <v>-0.88400000000000001</v>
      </c>
      <c r="J116" s="30">
        <f>IF(C116&lt;&gt;0,D116/C116,"")</f>
        <v>-40.956229135845383</v>
      </c>
      <c r="K116" s="6">
        <f>IF(B116&lt;&gt;0,0.1*E116/B116,0)</f>
        <v>-0.88400000000000001</v>
      </c>
      <c r="L116" s="15">
        <f>CDCM!B4249*CDCM!$B213*10</f>
        <v>-5324.3097876598995</v>
      </c>
      <c r="M116" s="15">
        <f>CDCM!C4249*CDCM!$C213*10</f>
        <v>0</v>
      </c>
      <c r="N116" s="15">
        <f>CDCM!D4249*CDCM!$D213*10</f>
        <v>0</v>
      </c>
      <c r="O116" s="24">
        <f>IF(E116&lt;&gt;0,$L116/E116,"")</f>
        <v>1</v>
      </c>
      <c r="P116" s="24">
        <f>IF(E116&lt;&gt;0,$M116/E116,"")</f>
        <v>0</v>
      </c>
      <c r="Q116" s="24">
        <f>IF(E116&lt;&gt;0,$N116/E116,"")</f>
        <v>0</v>
      </c>
      <c r="R116" s="24">
        <f>IF(D116&lt;&gt;0,$F116/D116,"")</f>
        <v>0</v>
      </c>
      <c r="S116" s="24">
        <f>IF(D116&lt;&gt;0,$G116/D116,"")</f>
        <v>0</v>
      </c>
      <c r="T116" s="24">
        <f>IF(D116&lt;&gt;0,$H116/D116,"")</f>
        <v>0</v>
      </c>
      <c r="U116" s="10"/>
    </row>
    <row r="117" spans="1:21">
      <c r="A117" s="11" t="s">
        <v>1642</v>
      </c>
      <c r="B117" s="15">
        <f>CDCM!B214+CDCM!C214+CDCM!D214</f>
        <v>0</v>
      </c>
      <c r="C117" s="28">
        <f>CDCM!E214</f>
        <v>0</v>
      </c>
      <c r="D117" s="15">
        <f>0.01*CDCM!F$14*(CDCM!$E4250*CDCM!E214+CDCM!$F4250*CDCM!F214)+10*(CDCM!$B4250*CDCM!B214+CDCM!$C4250*CDCM!C214+CDCM!$D4250*CDCM!D214+CDCM!$G4250*CDCM!G214)</f>
        <v>0</v>
      </c>
      <c r="E117" s="15">
        <f>10*(CDCM!$B4250*CDCM!B214+CDCM!$C4250*CDCM!C214+CDCM!$D4250*CDCM!D214)</f>
        <v>0</v>
      </c>
      <c r="F117" s="15">
        <f>CDCM!E4250*CDCM!$F$14*CDCM!$E214/100</f>
        <v>0</v>
      </c>
      <c r="G117" s="15">
        <f>CDCM!F4250*CDCM!$F$14*CDCM!$F214/100</f>
        <v>0</v>
      </c>
      <c r="H117" s="15">
        <f>CDCM!G4250*CDCM!$G214*10</f>
        <v>0</v>
      </c>
      <c r="I117" s="6" t="str">
        <f>IF(B117&lt;&gt;0,0.1*D117/B117,"")</f>
        <v/>
      </c>
      <c r="J117" s="30" t="str">
        <f>IF(C117&lt;&gt;0,D117/C117,"")</f>
        <v/>
      </c>
      <c r="K117" s="6">
        <f>IF(B117&lt;&gt;0,0.1*E117/B117,0)</f>
        <v>0</v>
      </c>
      <c r="L117" s="15">
        <f>CDCM!B4250*CDCM!$B214*10</f>
        <v>0</v>
      </c>
      <c r="M117" s="15">
        <f>CDCM!C4250*CDCM!$C214*10</f>
        <v>0</v>
      </c>
      <c r="N117" s="15">
        <f>CDCM!D4250*CDCM!$D214*10</f>
        <v>0</v>
      </c>
      <c r="O117" s="24" t="str">
        <f>IF(E117&lt;&gt;0,$L117/E117,"")</f>
        <v/>
      </c>
      <c r="P117" s="24" t="str">
        <f>IF(E117&lt;&gt;0,$M117/E117,"")</f>
        <v/>
      </c>
      <c r="Q117" s="24" t="str">
        <f>IF(E117&lt;&gt;0,$N117/E117,"")</f>
        <v/>
      </c>
      <c r="R117" s="24" t="str">
        <f>IF(D117&lt;&gt;0,$F117/D117,"")</f>
        <v/>
      </c>
      <c r="S117" s="24" t="str">
        <f>IF(D117&lt;&gt;0,$G117/D117,"")</f>
        <v/>
      </c>
      <c r="T117" s="24" t="str">
        <f>IF(D117&lt;&gt;0,$H117/D117,"")</f>
        <v/>
      </c>
      <c r="U117" s="10"/>
    </row>
    <row r="118" spans="1:21">
      <c r="A118" s="11" t="s">
        <v>1639</v>
      </c>
      <c r="B118" s="15">
        <f>CDCM!B215+CDCM!C215+CDCM!D215</f>
        <v>0</v>
      </c>
      <c r="C118" s="28">
        <f>CDCM!E215</f>
        <v>0</v>
      </c>
      <c r="D118" s="15">
        <f>0.01*CDCM!F$14*(CDCM!$E4251*CDCM!E215+CDCM!$F4251*CDCM!F215)+10*(CDCM!$B4251*CDCM!B215+CDCM!$C4251*CDCM!C215+CDCM!$D4251*CDCM!D215+CDCM!$G4251*CDCM!G215)</f>
        <v>0</v>
      </c>
      <c r="E118" s="15">
        <f>10*(CDCM!$B4251*CDCM!B215+CDCM!$C4251*CDCM!C215+CDCM!$D4251*CDCM!D215)</f>
        <v>0</v>
      </c>
      <c r="F118" s="15">
        <f>CDCM!E4251*CDCM!$F$14*CDCM!$E215/100</f>
        <v>0</v>
      </c>
      <c r="G118" s="15">
        <f>CDCM!F4251*CDCM!$F$14*CDCM!$F215/100</f>
        <v>0</v>
      </c>
      <c r="H118" s="15">
        <f>CDCM!G4251*CDCM!$G215*10</f>
        <v>0</v>
      </c>
      <c r="I118" s="6" t="str">
        <f>IF(B118&lt;&gt;0,0.1*D118/B118,"")</f>
        <v/>
      </c>
      <c r="J118" s="30" t="str">
        <f>IF(C118&lt;&gt;0,D118/C118,"")</f>
        <v/>
      </c>
      <c r="K118" s="6">
        <f>IF(B118&lt;&gt;0,0.1*E118/B118,0)</f>
        <v>0</v>
      </c>
      <c r="L118" s="15">
        <f>CDCM!B4251*CDCM!$B215*10</f>
        <v>0</v>
      </c>
      <c r="M118" s="15">
        <f>CDCM!C4251*CDCM!$C215*10</f>
        <v>0</v>
      </c>
      <c r="N118" s="15">
        <f>CDCM!D4251*CDCM!$D215*10</f>
        <v>0</v>
      </c>
      <c r="O118" s="24" t="str">
        <f>IF(E118&lt;&gt;0,$L118/E118,"")</f>
        <v/>
      </c>
      <c r="P118" s="24" t="str">
        <f>IF(E118&lt;&gt;0,$M118/E118,"")</f>
        <v/>
      </c>
      <c r="Q118" s="24" t="str">
        <f>IF(E118&lt;&gt;0,$N118/E118,"")</f>
        <v/>
      </c>
      <c r="R118" s="24" t="str">
        <f>IF(D118&lt;&gt;0,$F118/D118,"")</f>
        <v/>
      </c>
      <c r="S118" s="24" t="str">
        <f>IF(D118&lt;&gt;0,$G118/D118,"")</f>
        <v/>
      </c>
      <c r="T118" s="24" t="str">
        <f>IF(D118&lt;&gt;0,$H118/D118,"")</f>
        <v/>
      </c>
      <c r="U118" s="10"/>
    </row>
    <row r="119" spans="1:21">
      <c r="A119" s="17" t="s">
        <v>191</v>
      </c>
      <c r="U119" s="10"/>
    </row>
    <row r="120" spans="1:21">
      <c r="A120" s="11" t="s">
        <v>100</v>
      </c>
      <c r="B120" s="15">
        <f>CDCM!B217+CDCM!C217+CDCM!D217</f>
        <v>0</v>
      </c>
      <c r="C120" s="28">
        <f>CDCM!E217</f>
        <v>0</v>
      </c>
      <c r="D120" s="15">
        <f>0.01*CDCM!F$14*(CDCM!$E4253*CDCM!E217+CDCM!$F4253*CDCM!F217)+10*(CDCM!$B4253*CDCM!B217+CDCM!$C4253*CDCM!C217+CDCM!$D4253*CDCM!D217+CDCM!$G4253*CDCM!G217)</f>
        <v>0</v>
      </c>
      <c r="E120" s="15">
        <f>10*(CDCM!$B4253*CDCM!B217+CDCM!$C4253*CDCM!C217+CDCM!$D4253*CDCM!D217)</f>
        <v>0</v>
      </c>
      <c r="F120" s="15">
        <f>CDCM!E4253*CDCM!$F$14*CDCM!$E217/100</f>
        <v>0</v>
      </c>
      <c r="G120" s="15">
        <f>CDCM!F4253*CDCM!$F$14*CDCM!$F217/100</f>
        <v>0</v>
      </c>
      <c r="H120" s="15">
        <f>CDCM!G4253*CDCM!$G217*10</f>
        <v>0</v>
      </c>
      <c r="I120" s="6" t="str">
        <f>IF(B120&lt;&gt;0,0.1*D120/B120,"")</f>
        <v/>
      </c>
      <c r="J120" s="30" t="str">
        <f>IF(C120&lt;&gt;0,D120/C120,"")</f>
        <v/>
      </c>
      <c r="K120" s="6">
        <f>IF(B120&lt;&gt;0,0.1*E120/B120,0)</f>
        <v>0</v>
      </c>
      <c r="L120" s="15">
        <f>CDCM!B4253*CDCM!$B217*10</f>
        <v>0</v>
      </c>
      <c r="M120" s="15">
        <f>CDCM!C4253*CDCM!$C217*10</f>
        <v>0</v>
      </c>
      <c r="N120" s="15">
        <f>CDCM!D4253*CDCM!$D217*10</f>
        <v>0</v>
      </c>
      <c r="O120" s="24" t="str">
        <f>IF(E120&lt;&gt;0,$L120/E120,"")</f>
        <v/>
      </c>
      <c r="P120" s="24" t="str">
        <f>IF(E120&lt;&gt;0,$M120/E120,"")</f>
        <v/>
      </c>
      <c r="Q120" s="24" t="str">
        <f>IF(E120&lt;&gt;0,$N120/E120,"")</f>
        <v/>
      </c>
      <c r="R120" s="24" t="str">
        <f>IF(D120&lt;&gt;0,$F120/D120,"")</f>
        <v/>
      </c>
      <c r="S120" s="24" t="str">
        <f>IF(D120&lt;&gt;0,$G120/D120,"")</f>
        <v/>
      </c>
      <c r="T120" s="24" t="str">
        <f>IF(D120&lt;&gt;0,$H120/D120,"")</f>
        <v/>
      </c>
      <c r="U120" s="10"/>
    </row>
    <row r="121" spans="1:21">
      <c r="A121" s="11" t="s">
        <v>192</v>
      </c>
      <c r="B121" s="15">
        <f>CDCM!B218+CDCM!C218+CDCM!D218</f>
        <v>0</v>
      </c>
      <c r="C121" s="28">
        <f>CDCM!E218</f>
        <v>0</v>
      </c>
      <c r="D121" s="15">
        <f>0.01*CDCM!F$14*(CDCM!$E4254*CDCM!E218+CDCM!$F4254*CDCM!F218)+10*(CDCM!$B4254*CDCM!B218+CDCM!$C4254*CDCM!C218+CDCM!$D4254*CDCM!D218+CDCM!$G4254*CDCM!G218)</f>
        <v>0</v>
      </c>
      <c r="E121" s="15">
        <f>10*(CDCM!$B4254*CDCM!B218+CDCM!$C4254*CDCM!C218+CDCM!$D4254*CDCM!D218)</f>
        <v>0</v>
      </c>
      <c r="F121" s="15">
        <f>CDCM!E4254*CDCM!$F$14*CDCM!$E218/100</f>
        <v>0</v>
      </c>
      <c r="G121" s="15">
        <f>CDCM!F4254*CDCM!$F$14*CDCM!$F218/100</f>
        <v>0</v>
      </c>
      <c r="H121" s="15">
        <f>CDCM!G4254*CDCM!$G218*10</f>
        <v>0</v>
      </c>
      <c r="I121" s="6" t="str">
        <f>IF(B121&lt;&gt;0,0.1*D121/B121,"")</f>
        <v/>
      </c>
      <c r="J121" s="30" t="str">
        <f>IF(C121&lt;&gt;0,D121/C121,"")</f>
        <v/>
      </c>
      <c r="K121" s="6">
        <f>IF(B121&lt;&gt;0,0.1*E121/B121,0)</f>
        <v>0</v>
      </c>
      <c r="L121" s="15">
        <f>CDCM!B4254*CDCM!$B218*10</f>
        <v>0</v>
      </c>
      <c r="M121" s="15">
        <f>CDCM!C4254*CDCM!$C218*10</f>
        <v>0</v>
      </c>
      <c r="N121" s="15">
        <f>CDCM!D4254*CDCM!$D218*10</f>
        <v>0</v>
      </c>
      <c r="O121" s="24" t="str">
        <f>IF(E121&lt;&gt;0,$L121/E121,"")</f>
        <v/>
      </c>
      <c r="P121" s="24" t="str">
        <f>IF(E121&lt;&gt;0,$M121/E121,"")</f>
        <v/>
      </c>
      <c r="Q121" s="24" t="str">
        <f>IF(E121&lt;&gt;0,$N121/E121,"")</f>
        <v/>
      </c>
      <c r="R121" s="24" t="str">
        <f>IF(D121&lt;&gt;0,$F121/D121,"")</f>
        <v/>
      </c>
      <c r="S121" s="24" t="str">
        <f>IF(D121&lt;&gt;0,$G121/D121,"")</f>
        <v/>
      </c>
      <c r="T121" s="24" t="str">
        <f>IF(D121&lt;&gt;0,$H121/D121,"")</f>
        <v/>
      </c>
      <c r="U121" s="10"/>
    </row>
    <row r="122" spans="1:21">
      <c r="A122" s="17" t="s">
        <v>193</v>
      </c>
      <c r="U122" s="10"/>
    </row>
    <row r="123" spans="1:21">
      <c r="A123" s="11" t="s">
        <v>101</v>
      </c>
      <c r="B123" s="15">
        <f>CDCM!B220+CDCM!C220+CDCM!D220</f>
        <v>9529.9504738031992</v>
      </c>
      <c r="C123" s="28">
        <f>CDCM!E220</f>
        <v>146</v>
      </c>
      <c r="D123" s="15">
        <f>0.01*CDCM!F$14*(CDCM!$E4256*CDCM!E220+CDCM!$F4256*CDCM!F220)+10*(CDCM!$B4256*CDCM!B220+CDCM!$C4256*CDCM!C220+CDCM!$D4256*CDCM!D220+CDCM!$G4256*CDCM!G220)</f>
        <v>-83267.942188420275</v>
      </c>
      <c r="E123" s="15">
        <f>10*(CDCM!$B4256*CDCM!B220+CDCM!$C4256*CDCM!C220+CDCM!$D4256*CDCM!D220)</f>
        <v>-84244.762188420282</v>
      </c>
      <c r="F123" s="15">
        <f>CDCM!E4256*CDCM!$F$14*CDCM!$E220/100</f>
        <v>0</v>
      </c>
      <c r="G123" s="15">
        <f>CDCM!F4256*CDCM!$F$14*CDCM!$F220/100</f>
        <v>0</v>
      </c>
      <c r="H123" s="15">
        <f>CDCM!G4256*CDCM!$G220*10</f>
        <v>976.81999999999994</v>
      </c>
      <c r="I123" s="6">
        <f>IF(B123&lt;&gt;0,0.1*D123/B123,"")</f>
        <v>-0.87374999919794782</v>
      </c>
      <c r="J123" s="30">
        <f>IF(C123&lt;&gt;0,D123/C123,"")</f>
        <v>-570.32837115356358</v>
      </c>
      <c r="K123" s="6">
        <f>IF(B123&lt;&gt;0,0.1*E123/B123,0)</f>
        <v>-0.88400000000000001</v>
      </c>
      <c r="L123" s="15">
        <f>CDCM!B4256*CDCM!$B220*10</f>
        <v>-84244.762188420282</v>
      </c>
      <c r="M123" s="15">
        <f>CDCM!C4256*CDCM!$C220*10</f>
        <v>0</v>
      </c>
      <c r="N123" s="15">
        <f>CDCM!D4256*CDCM!$D220*10</f>
        <v>0</v>
      </c>
      <c r="O123" s="24">
        <f>IF(E123&lt;&gt;0,$L123/E123,"")</f>
        <v>1</v>
      </c>
      <c r="P123" s="24">
        <f>IF(E123&lt;&gt;0,$M123/E123,"")</f>
        <v>0</v>
      </c>
      <c r="Q123" s="24">
        <f>IF(E123&lt;&gt;0,$N123/E123,"")</f>
        <v>0</v>
      </c>
      <c r="R123" s="24">
        <f>IF(D123&lt;&gt;0,$F123/D123,"")</f>
        <v>0</v>
      </c>
      <c r="S123" s="24">
        <f>IF(D123&lt;&gt;0,$G123/D123,"")</f>
        <v>0</v>
      </c>
      <c r="T123" s="24">
        <f>IF(D123&lt;&gt;0,$H123/D123,"")</f>
        <v>-1.1731045277780891E-2</v>
      </c>
      <c r="U123" s="10"/>
    </row>
    <row r="124" spans="1:21">
      <c r="A124" s="11" t="s">
        <v>194</v>
      </c>
      <c r="B124" s="15">
        <f>CDCM!B221+CDCM!C221+CDCM!D221</f>
        <v>0</v>
      </c>
      <c r="C124" s="28">
        <f>CDCM!E221</f>
        <v>0</v>
      </c>
      <c r="D124" s="15">
        <f>0.01*CDCM!F$14*(CDCM!$E4257*CDCM!E221+CDCM!$F4257*CDCM!F221)+10*(CDCM!$B4257*CDCM!B221+CDCM!$C4257*CDCM!C221+CDCM!$D4257*CDCM!D221+CDCM!$G4257*CDCM!G221)</f>
        <v>0</v>
      </c>
      <c r="E124" s="15">
        <f>10*(CDCM!$B4257*CDCM!B221+CDCM!$C4257*CDCM!C221+CDCM!$D4257*CDCM!D221)</f>
        <v>0</v>
      </c>
      <c r="F124" s="15">
        <f>CDCM!E4257*CDCM!$F$14*CDCM!$E221/100</f>
        <v>0</v>
      </c>
      <c r="G124" s="15">
        <f>CDCM!F4257*CDCM!$F$14*CDCM!$F221/100</f>
        <v>0</v>
      </c>
      <c r="H124" s="15">
        <f>CDCM!G4257*CDCM!$G221*10</f>
        <v>0</v>
      </c>
      <c r="I124" s="6" t="str">
        <f>IF(B124&lt;&gt;0,0.1*D124/B124,"")</f>
        <v/>
      </c>
      <c r="J124" s="30" t="str">
        <f>IF(C124&lt;&gt;0,D124/C124,"")</f>
        <v/>
      </c>
      <c r="K124" s="6">
        <f>IF(B124&lt;&gt;0,0.1*E124/B124,0)</f>
        <v>0</v>
      </c>
      <c r="L124" s="15">
        <f>CDCM!B4257*CDCM!$B221*10</f>
        <v>0</v>
      </c>
      <c r="M124" s="15">
        <f>CDCM!C4257*CDCM!$C221*10</f>
        <v>0</v>
      </c>
      <c r="N124" s="15">
        <f>CDCM!D4257*CDCM!$D221*10</f>
        <v>0</v>
      </c>
      <c r="O124" s="24" t="str">
        <f>IF(E124&lt;&gt;0,$L124/E124,"")</f>
        <v/>
      </c>
      <c r="P124" s="24" t="str">
        <f>IF(E124&lt;&gt;0,$M124/E124,"")</f>
        <v/>
      </c>
      <c r="Q124" s="24" t="str">
        <f>IF(E124&lt;&gt;0,$N124/E124,"")</f>
        <v/>
      </c>
      <c r="R124" s="24" t="str">
        <f>IF(D124&lt;&gt;0,$F124/D124,"")</f>
        <v/>
      </c>
      <c r="S124" s="24" t="str">
        <f>IF(D124&lt;&gt;0,$G124/D124,"")</f>
        <v/>
      </c>
      <c r="T124" s="24" t="str">
        <f>IF(D124&lt;&gt;0,$H124/D124,"")</f>
        <v/>
      </c>
      <c r="U124" s="10"/>
    </row>
    <row r="125" spans="1:21">
      <c r="A125" s="11" t="s">
        <v>195</v>
      </c>
      <c r="B125" s="15">
        <f>CDCM!B222+CDCM!C222+CDCM!D222</f>
        <v>0</v>
      </c>
      <c r="C125" s="28">
        <f>CDCM!E222</f>
        <v>0</v>
      </c>
      <c r="D125" s="15">
        <f>0.01*CDCM!F$14*(CDCM!$E4258*CDCM!E222+CDCM!$F4258*CDCM!F222)+10*(CDCM!$B4258*CDCM!B222+CDCM!$C4258*CDCM!C222+CDCM!$D4258*CDCM!D222+CDCM!$G4258*CDCM!G222)</f>
        <v>0</v>
      </c>
      <c r="E125" s="15">
        <f>10*(CDCM!$B4258*CDCM!B222+CDCM!$C4258*CDCM!C222+CDCM!$D4258*CDCM!D222)</f>
        <v>0</v>
      </c>
      <c r="F125" s="15">
        <f>CDCM!E4258*CDCM!$F$14*CDCM!$E222/100</f>
        <v>0</v>
      </c>
      <c r="G125" s="15">
        <f>CDCM!F4258*CDCM!$F$14*CDCM!$F222/100</f>
        <v>0</v>
      </c>
      <c r="H125" s="15">
        <f>CDCM!G4258*CDCM!$G222*10</f>
        <v>0</v>
      </c>
      <c r="I125" s="6" t="str">
        <f>IF(B125&lt;&gt;0,0.1*D125/B125,"")</f>
        <v/>
      </c>
      <c r="J125" s="30" t="str">
        <f>IF(C125&lt;&gt;0,D125/C125,"")</f>
        <v/>
      </c>
      <c r="K125" s="6">
        <f>IF(B125&lt;&gt;0,0.1*E125/B125,0)</f>
        <v>0</v>
      </c>
      <c r="L125" s="15">
        <f>CDCM!B4258*CDCM!$B222*10</f>
        <v>0</v>
      </c>
      <c r="M125" s="15">
        <f>CDCM!C4258*CDCM!$C222*10</f>
        <v>0</v>
      </c>
      <c r="N125" s="15">
        <f>CDCM!D4258*CDCM!$D222*10</f>
        <v>0</v>
      </c>
      <c r="O125" s="24" t="str">
        <f>IF(E125&lt;&gt;0,$L125/E125,"")</f>
        <v/>
      </c>
      <c r="P125" s="24" t="str">
        <f>IF(E125&lt;&gt;0,$M125/E125,"")</f>
        <v/>
      </c>
      <c r="Q125" s="24" t="str">
        <f>IF(E125&lt;&gt;0,$N125/E125,"")</f>
        <v/>
      </c>
      <c r="R125" s="24" t="str">
        <f>IF(D125&lt;&gt;0,$F125/D125,"")</f>
        <v/>
      </c>
      <c r="S125" s="24" t="str">
        <f>IF(D125&lt;&gt;0,$G125/D125,"")</f>
        <v/>
      </c>
      <c r="T125" s="24" t="str">
        <f>IF(D125&lt;&gt;0,$H125/D125,"")</f>
        <v/>
      </c>
      <c r="U125" s="10"/>
    </row>
    <row r="126" spans="1:21">
      <c r="A126" s="17" t="s">
        <v>196</v>
      </c>
      <c r="U126" s="10"/>
    </row>
    <row r="127" spans="1:21">
      <c r="A127" s="11" t="s">
        <v>102</v>
      </c>
      <c r="B127" s="15">
        <f>CDCM!B224+CDCM!C224+CDCM!D224</f>
        <v>1895.2778957976439</v>
      </c>
      <c r="C127" s="28">
        <f>CDCM!E224</f>
        <v>11</v>
      </c>
      <c r="D127" s="15">
        <f>0.01*CDCM!F$14*(CDCM!$E4260*CDCM!E224+CDCM!$F4260*CDCM!F224)+10*(CDCM!$B4260*CDCM!B224+CDCM!$C4260*CDCM!C224+CDCM!$D4260*CDCM!D224+CDCM!$G4260*CDCM!G224)</f>
        <v>-16206.973385838839</v>
      </c>
      <c r="E127" s="15">
        <f>10*(CDCM!$B4260*CDCM!B224+CDCM!$C4260*CDCM!C224+CDCM!$D4260*CDCM!D224)</f>
        <v>-16296.563385838839</v>
      </c>
      <c r="F127" s="15">
        <f>CDCM!E4260*CDCM!$F$14*CDCM!$E224/100</f>
        <v>0</v>
      </c>
      <c r="G127" s="15">
        <f>CDCM!F4260*CDCM!$F$14*CDCM!$F224/100</f>
        <v>0</v>
      </c>
      <c r="H127" s="15">
        <f>CDCM!G4260*CDCM!$G224*10</f>
        <v>89.59</v>
      </c>
      <c r="I127" s="6">
        <f>IF(B127&lt;&gt;0,0.1*D127/B127,"")</f>
        <v>-0.85512385396221791</v>
      </c>
      <c r="J127" s="30">
        <f>IF(C127&lt;&gt;0,D127/C127,"")</f>
        <v>-1473.3612168944398</v>
      </c>
      <c r="K127" s="6">
        <f>IF(B127&lt;&gt;0,0.1*E127/B127,0)</f>
        <v>-0.85985086524634913</v>
      </c>
      <c r="L127" s="15">
        <f>CDCM!B4260*CDCM!$B224*10</f>
        <v>-9265.7650980485705</v>
      </c>
      <c r="M127" s="15">
        <f>CDCM!C4260*CDCM!$C224*10</f>
        <v>-6070.045330676041</v>
      </c>
      <c r="N127" s="15">
        <f>CDCM!D4260*CDCM!$D224*10</f>
        <v>-960.75295711422859</v>
      </c>
      <c r="O127" s="24">
        <f>IF(E127&lt;&gt;0,$L127/E127,"")</f>
        <v>0.56857172145264723</v>
      </c>
      <c r="P127" s="24">
        <f>IF(E127&lt;&gt;0,$M127/E127,"")</f>
        <v>0.37247394968872422</v>
      </c>
      <c r="Q127" s="24">
        <f>IF(E127&lt;&gt;0,$N127/E127,"")</f>
        <v>5.8954328858628585E-2</v>
      </c>
      <c r="R127" s="24">
        <f>IF(D127&lt;&gt;0,$F127/D127,"")</f>
        <v>0</v>
      </c>
      <c r="S127" s="24">
        <f>IF(D127&lt;&gt;0,$G127/D127,"")</f>
        <v>0</v>
      </c>
      <c r="T127" s="24">
        <f>IF(D127&lt;&gt;0,$H127/D127,"")</f>
        <v>-5.527867410350721E-3</v>
      </c>
      <c r="U127" s="10"/>
    </row>
    <row r="128" spans="1:21">
      <c r="A128" s="11" t="s">
        <v>197</v>
      </c>
      <c r="B128" s="15">
        <f>CDCM!B225+CDCM!C225+CDCM!D225</f>
        <v>0</v>
      </c>
      <c r="C128" s="28">
        <f>CDCM!E225</f>
        <v>0</v>
      </c>
      <c r="D128" s="15">
        <f>0.01*CDCM!F$14*(CDCM!$E4261*CDCM!E225+CDCM!$F4261*CDCM!F225)+10*(CDCM!$B4261*CDCM!B225+CDCM!$C4261*CDCM!C225+CDCM!$D4261*CDCM!D225+CDCM!$G4261*CDCM!G225)</f>
        <v>0</v>
      </c>
      <c r="E128" s="15">
        <f>10*(CDCM!$B4261*CDCM!B225+CDCM!$C4261*CDCM!C225+CDCM!$D4261*CDCM!D225)</f>
        <v>0</v>
      </c>
      <c r="F128" s="15">
        <f>CDCM!E4261*CDCM!$F$14*CDCM!$E225/100</f>
        <v>0</v>
      </c>
      <c r="G128" s="15">
        <f>CDCM!F4261*CDCM!$F$14*CDCM!$F225/100</f>
        <v>0</v>
      </c>
      <c r="H128" s="15">
        <f>CDCM!G4261*CDCM!$G225*10</f>
        <v>0</v>
      </c>
      <c r="I128" s="6" t="str">
        <f>IF(B128&lt;&gt;0,0.1*D128/B128,"")</f>
        <v/>
      </c>
      <c r="J128" s="30" t="str">
        <f>IF(C128&lt;&gt;0,D128/C128,"")</f>
        <v/>
      </c>
      <c r="K128" s="6">
        <f>IF(B128&lt;&gt;0,0.1*E128/B128,0)</f>
        <v>0</v>
      </c>
      <c r="L128" s="15">
        <f>CDCM!B4261*CDCM!$B225*10</f>
        <v>0</v>
      </c>
      <c r="M128" s="15">
        <f>CDCM!C4261*CDCM!$C225*10</f>
        <v>0</v>
      </c>
      <c r="N128" s="15">
        <f>CDCM!D4261*CDCM!$D225*10</f>
        <v>0</v>
      </c>
      <c r="O128" s="24" t="str">
        <f>IF(E128&lt;&gt;0,$L128/E128,"")</f>
        <v/>
      </c>
      <c r="P128" s="24" t="str">
        <f>IF(E128&lt;&gt;0,$M128/E128,"")</f>
        <v/>
      </c>
      <c r="Q128" s="24" t="str">
        <f>IF(E128&lt;&gt;0,$N128/E128,"")</f>
        <v/>
      </c>
      <c r="R128" s="24" t="str">
        <f>IF(D128&lt;&gt;0,$F128/D128,"")</f>
        <v/>
      </c>
      <c r="S128" s="24" t="str">
        <f>IF(D128&lt;&gt;0,$G128/D128,"")</f>
        <v/>
      </c>
      <c r="T128" s="24" t="str">
        <f>IF(D128&lt;&gt;0,$H128/D128,"")</f>
        <v/>
      </c>
      <c r="U128" s="10"/>
    </row>
    <row r="129" spans="1:21">
      <c r="A129" s="11" t="s">
        <v>198</v>
      </c>
      <c r="B129" s="15">
        <f>CDCM!B226+CDCM!C226+CDCM!D226</f>
        <v>0</v>
      </c>
      <c r="C129" s="28">
        <f>CDCM!E226</f>
        <v>0</v>
      </c>
      <c r="D129" s="15">
        <f>0.01*CDCM!F$14*(CDCM!$E4262*CDCM!E226+CDCM!$F4262*CDCM!F226)+10*(CDCM!$B4262*CDCM!B226+CDCM!$C4262*CDCM!C226+CDCM!$D4262*CDCM!D226+CDCM!$G4262*CDCM!G226)</f>
        <v>0</v>
      </c>
      <c r="E129" s="15">
        <f>10*(CDCM!$B4262*CDCM!B226+CDCM!$C4262*CDCM!C226+CDCM!$D4262*CDCM!D226)</f>
        <v>0</v>
      </c>
      <c r="F129" s="15">
        <f>CDCM!E4262*CDCM!$F$14*CDCM!$E226/100</f>
        <v>0</v>
      </c>
      <c r="G129" s="15">
        <f>CDCM!F4262*CDCM!$F$14*CDCM!$F226/100</f>
        <v>0</v>
      </c>
      <c r="H129" s="15">
        <f>CDCM!G4262*CDCM!$G226*10</f>
        <v>0</v>
      </c>
      <c r="I129" s="6" t="str">
        <f>IF(B129&lt;&gt;0,0.1*D129/B129,"")</f>
        <v/>
      </c>
      <c r="J129" s="30" t="str">
        <f>IF(C129&lt;&gt;0,D129/C129,"")</f>
        <v/>
      </c>
      <c r="K129" s="6">
        <f>IF(B129&lt;&gt;0,0.1*E129/B129,0)</f>
        <v>0</v>
      </c>
      <c r="L129" s="15">
        <f>CDCM!B4262*CDCM!$B226*10</f>
        <v>0</v>
      </c>
      <c r="M129" s="15">
        <f>CDCM!C4262*CDCM!$C226*10</f>
        <v>0</v>
      </c>
      <c r="N129" s="15">
        <f>CDCM!D4262*CDCM!$D226*10</f>
        <v>0</v>
      </c>
      <c r="O129" s="24" t="str">
        <f>IF(E129&lt;&gt;0,$L129/E129,"")</f>
        <v/>
      </c>
      <c r="P129" s="24" t="str">
        <f>IF(E129&lt;&gt;0,$M129/E129,"")</f>
        <v/>
      </c>
      <c r="Q129" s="24" t="str">
        <f>IF(E129&lt;&gt;0,$N129/E129,"")</f>
        <v/>
      </c>
      <c r="R129" s="24" t="str">
        <f>IF(D129&lt;&gt;0,$F129/D129,"")</f>
        <v/>
      </c>
      <c r="S129" s="24" t="str">
        <f>IF(D129&lt;&gt;0,$G129/D129,"")</f>
        <v/>
      </c>
      <c r="T129" s="24" t="str">
        <f>IF(D129&lt;&gt;0,$H129/D129,"")</f>
        <v/>
      </c>
      <c r="U129" s="10"/>
    </row>
    <row r="130" spans="1:21">
      <c r="A130" s="17" t="s">
        <v>199</v>
      </c>
      <c r="U130" s="10"/>
    </row>
    <row r="131" spans="1:21">
      <c r="A131" s="11" t="s">
        <v>103</v>
      </c>
      <c r="B131" s="15">
        <f>CDCM!B228+CDCM!C228+CDCM!D228</f>
        <v>37.670999999999999</v>
      </c>
      <c r="C131" s="28">
        <f>CDCM!E228</f>
        <v>1</v>
      </c>
      <c r="D131" s="15">
        <f>0.01*CDCM!F$14*(CDCM!$E4264*CDCM!E228+CDCM!$F4264*CDCM!F228)+10*(CDCM!$B4264*CDCM!B228+CDCM!$C4264*CDCM!C228+CDCM!$D4264*CDCM!D228+CDCM!$G4264*CDCM!G228)</f>
        <v>-305.13510000000002</v>
      </c>
      <c r="E131" s="15">
        <f>10*(CDCM!$B4264*CDCM!B228+CDCM!$C4264*CDCM!C228+CDCM!$D4264*CDCM!D228)</f>
        <v>-305.13510000000002</v>
      </c>
      <c r="F131" s="15">
        <f>CDCM!E4264*CDCM!$F$14*CDCM!$E228/100</f>
        <v>0</v>
      </c>
      <c r="G131" s="15">
        <f>CDCM!F4264*CDCM!$F$14*CDCM!$F228/100</f>
        <v>0</v>
      </c>
      <c r="H131" s="15">
        <f>CDCM!G4264*CDCM!$G228*10</f>
        <v>0</v>
      </c>
      <c r="I131" s="6">
        <f>IF(B131&lt;&gt;0,0.1*D131/B131,"")</f>
        <v>-0.81000000000000016</v>
      </c>
      <c r="J131" s="30">
        <f>IF(C131&lt;&gt;0,D131/C131,"")</f>
        <v>-305.13510000000002</v>
      </c>
      <c r="K131" s="6">
        <f>IF(B131&lt;&gt;0,0.1*E131/B131,0)</f>
        <v>-0.81000000000000016</v>
      </c>
      <c r="L131" s="15">
        <f>CDCM!B4264*CDCM!$B228*10</f>
        <v>-305.13510000000002</v>
      </c>
      <c r="M131" s="15">
        <f>CDCM!C4264*CDCM!$C228*10</f>
        <v>0</v>
      </c>
      <c r="N131" s="15">
        <f>CDCM!D4264*CDCM!$D228*10</f>
        <v>0</v>
      </c>
      <c r="O131" s="24">
        <f>IF(E131&lt;&gt;0,$L131/E131,"")</f>
        <v>1</v>
      </c>
      <c r="P131" s="24">
        <f>IF(E131&lt;&gt;0,$M131/E131,"")</f>
        <v>0</v>
      </c>
      <c r="Q131" s="24">
        <f>IF(E131&lt;&gt;0,$N131/E131,"")</f>
        <v>0</v>
      </c>
      <c r="R131" s="24">
        <f>IF(D131&lt;&gt;0,$F131/D131,"")</f>
        <v>0</v>
      </c>
      <c r="S131" s="24">
        <f>IF(D131&lt;&gt;0,$G131/D131,"")</f>
        <v>0</v>
      </c>
      <c r="T131" s="24">
        <f>IF(D131&lt;&gt;0,$H131/D131,"")</f>
        <v>0</v>
      </c>
      <c r="U131" s="10"/>
    </row>
    <row r="132" spans="1:21">
      <c r="A132" s="11" t="s">
        <v>200</v>
      </c>
      <c r="B132" s="15">
        <f>CDCM!B229+CDCM!C229+CDCM!D229</f>
        <v>0</v>
      </c>
      <c r="C132" s="28">
        <f>CDCM!E229</f>
        <v>0</v>
      </c>
      <c r="D132" s="15">
        <f>0.01*CDCM!F$14*(CDCM!$E4265*CDCM!E229+CDCM!$F4265*CDCM!F229)+10*(CDCM!$B4265*CDCM!B229+CDCM!$C4265*CDCM!C229+CDCM!$D4265*CDCM!D229+CDCM!$G4265*CDCM!G229)</f>
        <v>0</v>
      </c>
      <c r="E132" s="15">
        <f>10*(CDCM!$B4265*CDCM!B229+CDCM!$C4265*CDCM!C229+CDCM!$D4265*CDCM!D229)</f>
        <v>0</v>
      </c>
      <c r="F132" s="15">
        <f>CDCM!E4265*CDCM!$F$14*CDCM!$E229/100</f>
        <v>0</v>
      </c>
      <c r="G132" s="15">
        <f>CDCM!F4265*CDCM!$F$14*CDCM!$F229/100</f>
        <v>0</v>
      </c>
      <c r="H132" s="15">
        <f>CDCM!G4265*CDCM!$G229*10</f>
        <v>0</v>
      </c>
      <c r="I132" s="6" t="str">
        <f>IF(B132&lt;&gt;0,0.1*D132/B132,"")</f>
        <v/>
      </c>
      <c r="J132" s="30" t="str">
        <f>IF(C132&lt;&gt;0,D132/C132,"")</f>
        <v/>
      </c>
      <c r="K132" s="6">
        <f>IF(B132&lt;&gt;0,0.1*E132/B132,0)</f>
        <v>0</v>
      </c>
      <c r="L132" s="15">
        <f>CDCM!B4265*CDCM!$B229*10</f>
        <v>0</v>
      </c>
      <c r="M132" s="15">
        <f>CDCM!C4265*CDCM!$C229*10</f>
        <v>0</v>
      </c>
      <c r="N132" s="15">
        <f>CDCM!D4265*CDCM!$D229*10</f>
        <v>0</v>
      </c>
      <c r="O132" s="24" t="str">
        <f>IF(E132&lt;&gt;0,$L132/E132,"")</f>
        <v/>
      </c>
      <c r="P132" s="24" t="str">
        <f>IF(E132&lt;&gt;0,$M132/E132,"")</f>
        <v/>
      </c>
      <c r="Q132" s="24" t="str">
        <f>IF(E132&lt;&gt;0,$N132/E132,"")</f>
        <v/>
      </c>
      <c r="R132" s="24" t="str">
        <f>IF(D132&lt;&gt;0,$F132/D132,"")</f>
        <v/>
      </c>
      <c r="S132" s="24" t="str">
        <f>IF(D132&lt;&gt;0,$G132/D132,"")</f>
        <v/>
      </c>
      <c r="T132" s="24" t="str">
        <f>IF(D132&lt;&gt;0,$H132/D132,"")</f>
        <v/>
      </c>
      <c r="U132" s="10"/>
    </row>
    <row r="133" spans="1:21">
      <c r="A133" s="17" t="s">
        <v>201</v>
      </c>
      <c r="U133" s="10"/>
    </row>
    <row r="134" spans="1:21">
      <c r="A134" s="11" t="s">
        <v>104</v>
      </c>
      <c r="B134" s="15">
        <f>CDCM!B231+CDCM!C231+CDCM!D231</f>
        <v>0</v>
      </c>
      <c r="C134" s="28">
        <f>CDCM!E231</f>
        <v>0</v>
      </c>
      <c r="D134" s="15">
        <f>0.01*CDCM!F$14*(CDCM!$E4267*CDCM!E231+CDCM!$F4267*CDCM!F231)+10*(CDCM!$B4267*CDCM!B231+CDCM!$C4267*CDCM!C231+CDCM!$D4267*CDCM!D231+CDCM!$G4267*CDCM!G231)</f>
        <v>0</v>
      </c>
      <c r="E134" s="15">
        <f>10*(CDCM!$B4267*CDCM!B231+CDCM!$C4267*CDCM!C231+CDCM!$D4267*CDCM!D231)</f>
        <v>0</v>
      </c>
      <c r="F134" s="15">
        <f>CDCM!E4267*CDCM!$F$14*CDCM!$E231/100</f>
        <v>0</v>
      </c>
      <c r="G134" s="15">
        <f>CDCM!F4267*CDCM!$F$14*CDCM!$F231/100</f>
        <v>0</v>
      </c>
      <c r="H134" s="15">
        <f>CDCM!G4267*CDCM!$G231*10</f>
        <v>0</v>
      </c>
      <c r="I134" s="6" t="str">
        <f>IF(B134&lt;&gt;0,0.1*D134/B134,"")</f>
        <v/>
      </c>
      <c r="J134" s="30" t="str">
        <f>IF(C134&lt;&gt;0,D134/C134,"")</f>
        <v/>
      </c>
      <c r="K134" s="6">
        <f>IF(B134&lt;&gt;0,0.1*E134/B134,0)</f>
        <v>0</v>
      </c>
      <c r="L134" s="15">
        <f>CDCM!B4267*CDCM!$B231*10</f>
        <v>0</v>
      </c>
      <c r="M134" s="15">
        <f>CDCM!C4267*CDCM!$C231*10</f>
        <v>0</v>
      </c>
      <c r="N134" s="15">
        <f>CDCM!D4267*CDCM!$D231*10</f>
        <v>0</v>
      </c>
      <c r="O134" s="24" t="str">
        <f>IF(E134&lt;&gt;0,$L134/E134,"")</f>
        <v/>
      </c>
      <c r="P134" s="24" t="str">
        <f>IF(E134&lt;&gt;0,$M134/E134,"")</f>
        <v/>
      </c>
      <c r="Q134" s="24" t="str">
        <f>IF(E134&lt;&gt;0,$N134/E134,"")</f>
        <v/>
      </c>
      <c r="R134" s="24" t="str">
        <f>IF(D134&lt;&gt;0,$F134/D134,"")</f>
        <v/>
      </c>
      <c r="S134" s="24" t="str">
        <f>IF(D134&lt;&gt;0,$G134/D134,"")</f>
        <v/>
      </c>
      <c r="T134" s="24" t="str">
        <f>IF(D134&lt;&gt;0,$H134/D134,"")</f>
        <v/>
      </c>
      <c r="U134" s="10"/>
    </row>
    <row r="135" spans="1:21">
      <c r="A135" s="11" t="s">
        <v>202</v>
      </c>
      <c r="B135" s="15">
        <f>CDCM!B232+CDCM!C232+CDCM!D232</f>
        <v>0</v>
      </c>
      <c r="C135" s="28">
        <f>CDCM!E232</f>
        <v>0</v>
      </c>
      <c r="D135" s="15">
        <f>0.01*CDCM!F$14*(CDCM!$E4268*CDCM!E232+CDCM!$F4268*CDCM!F232)+10*(CDCM!$B4268*CDCM!B232+CDCM!$C4268*CDCM!C232+CDCM!$D4268*CDCM!D232+CDCM!$G4268*CDCM!G232)</f>
        <v>0</v>
      </c>
      <c r="E135" s="15">
        <f>10*(CDCM!$B4268*CDCM!B232+CDCM!$C4268*CDCM!C232+CDCM!$D4268*CDCM!D232)</f>
        <v>0</v>
      </c>
      <c r="F135" s="15">
        <f>CDCM!E4268*CDCM!$F$14*CDCM!$E232/100</f>
        <v>0</v>
      </c>
      <c r="G135" s="15">
        <f>CDCM!F4268*CDCM!$F$14*CDCM!$F232/100</f>
        <v>0</v>
      </c>
      <c r="H135" s="15">
        <f>CDCM!G4268*CDCM!$G232*10</f>
        <v>0</v>
      </c>
      <c r="I135" s="6" t="str">
        <f>IF(B135&lt;&gt;0,0.1*D135/B135,"")</f>
        <v/>
      </c>
      <c r="J135" s="30" t="str">
        <f>IF(C135&lt;&gt;0,D135/C135,"")</f>
        <v/>
      </c>
      <c r="K135" s="6">
        <f>IF(B135&lt;&gt;0,0.1*E135/B135,0)</f>
        <v>0</v>
      </c>
      <c r="L135" s="15">
        <f>CDCM!B4268*CDCM!$B232*10</f>
        <v>0</v>
      </c>
      <c r="M135" s="15">
        <f>CDCM!C4268*CDCM!$C232*10</f>
        <v>0</v>
      </c>
      <c r="N135" s="15">
        <f>CDCM!D4268*CDCM!$D232*10</f>
        <v>0</v>
      </c>
      <c r="O135" s="24" t="str">
        <f>IF(E135&lt;&gt;0,$L135/E135,"")</f>
        <v/>
      </c>
      <c r="P135" s="24" t="str">
        <f>IF(E135&lt;&gt;0,$M135/E135,"")</f>
        <v/>
      </c>
      <c r="Q135" s="24" t="str">
        <f>IF(E135&lt;&gt;0,$N135/E135,"")</f>
        <v/>
      </c>
      <c r="R135" s="24" t="str">
        <f>IF(D135&lt;&gt;0,$F135/D135,"")</f>
        <v/>
      </c>
      <c r="S135" s="24" t="str">
        <f>IF(D135&lt;&gt;0,$G135/D135,"")</f>
        <v/>
      </c>
      <c r="T135" s="24" t="str">
        <f>IF(D135&lt;&gt;0,$H135/D135,"")</f>
        <v/>
      </c>
      <c r="U135" s="10"/>
    </row>
    <row r="136" spans="1:21">
      <c r="A136" s="17" t="s">
        <v>203</v>
      </c>
      <c r="U136" s="10"/>
    </row>
    <row r="137" spans="1:21">
      <c r="A137" s="11" t="s">
        <v>112</v>
      </c>
      <c r="B137" s="15">
        <f>CDCM!B234+CDCM!C234+CDCM!D234</f>
        <v>44577.689286771631</v>
      </c>
      <c r="C137" s="28">
        <f>CDCM!E234</f>
        <v>27</v>
      </c>
      <c r="D137" s="15">
        <f>0.01*CDCM!F$14*(CDCM!$E4270*CDCM!E234+CDCM!$F4270*CDCM!F234)+10*(CDCM!$B4270*CDCM!B234+CDCM!$C4270*CDCM!C234+CDCM!$D4270*CDCM!D234+CDCM!$G4270*CDCM!G234)</f>
        <v>-244489.34179165662</v>
      </c>
      <c r="E137" s="15">
        <f>10*(CDCM!$B4270*CDCM!B234+CDCM!$C4270*CDCM!C234+CDCM!$D4270*CDCM!D234)</f>
        <v>-250526.61379165659</v>
      </c>
      <c r="F137" s="15">
        <f>CDCM!E4270*CDCM!$F$14*CDCM!$E234/100</f>
        <v>4259.1419999999998</v>
      </c>
      <c r="G137" s="15">
        <f>CDCM!F4270*CDCM!$F$14*CDCM!$F234/100</f>
        <v>0</v>
      </c>
      <c r="H137" s="15">
        <f>CDCM!G4270*CDCM!$G234*10</f>
        <v>1778.1299999999999</v>
      </c>
      <c r="I137" s="6">
        <f>IF(B137&lt;&gt;0,0.1*D137/B137,"")</f>
        <v>-0.54845674081228901</v>
      </c>
      <c r="J137" s="30">
        <f>IF(C137&lt;&gt;0,D137/C137,"")</f>
        <v>-9055.160807098393</v>
      </c>
      <c r="K137" s="6">
        <f>IF(B137&lt;&gt;0,0.1*E137/B137,0)</f>
        <v>-0.56200000000000006</v>
      </c>
      <c r="L137" s="15">
        <f>CDCM!B4270*CDCM!$B234*10</f>
        <v>-250526.61379165659</v>
      </c>
      <c r="M137" s="15">
        <f>CDCM!C4270*CDCM!$C234*10</f>
        <v>0</v>
      </c>
      <c r="N137" s="15">
        <f>CDCM!D4270*CDCM!$D234*10</f>
        <v>0</v>
      </c>
      <c r="O137" s="24">
        <f>IF(E137&lt;&gt;0,$L137/E137,"")</f>
        <v>1</v>
      </c>
      <c r="P137" s="24">
        <f>IF(E137&lt;&gt;0,$M137/E137,"")</f>
        <v>0</v>
      </c>
      <c r="Q137" s="24">
        <f>IF(E137&lt;&gt;0,$N137/E137,"")</f>
        <v>0</v>
      </c>
      <c r="R137" s="24">
        <f>IF(D137&lt;&gt;0,$F137/D137,"")</f>
        <v>-1.7420563075626661E-2</v>
      </c>
      <c r="S137" s="24">
        <f>IF(D137&lt;&gt;0,$G137/D137,"")</f>
        <v>0</v>
      </c>
      <c r="T137" s="24">
        <f>IF(D137&lt;&gt;0,$H137/D137,"")</f>
        <v>-7.2728323736715129E-3</v>
      </c>
      <c r="U137" s="10"/>
    </row>
    <row r="138" spans="1:21">
      <c r="A138" s="11" t="s">
        <v>204</v>
      </c>
      <c r="B138" s="15">
        <f>CDCM!B235+CDCM!C235+CDCM!D235</f>
        <v>0</v>
      </c>
      <c r="C138" s="28">
        <f>CDCM!E235</f>
        <v>0</v>
      </c>
      <c r="D138" s="15">
        <f>0.01*CDCM!F$14*(CDCM!$E4271*CDCM!E235+CDCM!$F4271*CDCM!F235)+10*(CDCM!$B4271*CDCM!B235+CDCM!$C4271*CDCM!C235+CDCM!$D4271*CDCM!D235+CDCM!$G4271*CDCM!G235)</f>
        <v>0</v>
      </c>
      <c r="E138" s="15">
        <f>10*(CDCM!$B4271*CDCM!B235+CDCM!$C4271*CDCM!C235+CDCM!$D4271*CDCM!D235)</f>
        <v>0</v>
      </c>
      <c r="F138" s="15">
        <f>CDCM!E4271*CDCM!$F$14*CDCM!$E235/100</f>
        <v>0</v>
      </c>
      <c r="G138" s="15">
        <f>CDCM!F4271*CDCM!$F$14*CDCM!$F235/100</f>
        <v>0</v>
      </c>
      <c r="H138" s="15">
        <f>CDCM!G4271*CDCM!$G235*10</f>
        <v>0</v>
      </c>
      <c r="I138" s="6" t="str">
        <f>IF(B138&lt;&gt;0,0.1*D138/B138,"")</f>
        <v/>
      </c>
      <c r="J138" s="30" t="str">
        <f>IF(C138&lt;&gt;0,D138/C138,"")</f>
        <v/>
      </c>
      <c r="K138" s="6">
        <f>IF(B138&lt;&gt;0,0.1*E138/B138,0)</f>
        <v>0</v>
      </c>
      <c r="L138" s="15">
        <f>CDCM!B4271*CDCM!$B235*10</f>
        <v>0</v>
      </c>
      <c r="M138" s="15">
        <f>CDCM!C4271*CDCM!$C235*10</f>
        <v>0</v>
      </c>
      <c r="N138" s="15">
        <f>CDCM!D4271*CDCM!$D235*10</f>
        <v>0</v>
      </c>
      <c r="O138" s="24" t="str">
        <f>IF(E138&lt;&gt;0,$L138/E138,"")</f>
        <v/>
      </c>
      <c r="P138" s="24" t="str">
        <f>IF(E138&lt;&gt;0,$M138/E138,"")</f>
        <v/>
      </c>
      <c r="Q138" s="24" t="str">
        <f>IF(E138&lt;&gt;0,$N138/E138,"")</f>
        <v/>
      </c>
      <c r="R138" s="24" t="str">
        <f>IF(D138&lt;&gt;0,$F138/D138,"")</f>
        <v/>
      </c>
      <c r="S138" s="24" t="str">
        <f>IF(D138&lt;&gt;0,$G138/D138,"")</f>
        <v/>
      </c>
      <c r="T138" s="24" t="str">
        <f>IF(D138&lt;&gt;0,$H138/D138,"")</f>
        <v/>
      </c>
      <c r="U138" s="10"/>
    </row>
    <row r="139" spans="1:21">
      <c r="A139" s="17" t="s">
        <v>205</v>
      </c>
      <c r="U139" s="10"/>
    </row>
    <row r="140" spans="1:21">
      <c r="A140" s="11" t="s">
        <v>113</v>
      </c>
      <c r="B140" s="15">
        <f>CDCM!B237+CDCM!C237+CDCM!D237</f>
        <v>101365.43817601984</v>
      </c>
      <c r="C140" s="28">
        <f>CDCM!E237</f>
        <v>27</v>
      </c>
      <c r="D140" s="15">
        <f>0.01*CDCM!F$14*(CDCM!$E4273*CDCM!E237+CDCM!$F4273*CDCM!F237)+10*(CDCM!$B4273*CDCM!B237+CDCM!$C4273*CDCM!C237+CDCM!$D4273*CDCM!D237+CDCM!$G4273*CDCM!G237)</f>
        <v>-635151.86556820897</v>
      </c>
      <c r="E140" s="15">
        <f>10*(CDCM!$B4273*CDCM!B237+CDCM!$C4273*CDCM!C237+CDCM!$D4273*CDCM!D237)</f>
        <v>-640946.94756820903</v>
      </c>
      <c r="F140" s="15">
        <f>CDCM!E4273*CDCM!$F$14*CDCM!$E237/100</f>
        <v>4259.1419999999998</v>
      </c>
      <c r="G140" s="15">
        <f>CDCM!F4273*CDCM!$F$14*CDCM!$F237/100</f>
        <v>0</v>
      </c>
      <c r="H140" s="15">
        <f>CDCM!G4273*CDCM!$G237*10</f>
        <v>1535.94</v>
      </c>
      <c r="I140" s="6">
        <f>IF(B140&lt;&gt;0,0.1*D140/B140,"")</f>
        <v>-0.62659608343553508</v>
      </c>
      <c r="J140" s="30">
        <f>IF(C140&lt;&gt;0,D140/C140,"")</f>
        <v>-23524.143169192925</v>
      </c>
      <c r="K140" s="6">
        <f>IF(B140&lt;&gt;0,0.1*E140/B140,0)</f>
        <v>-0.63231310306695709</v>
      </c>
      <c r="L140" s="15">
        <f>CDCM!B4273*CDCM!$B237*10</f>
        <v>-419520.96486885363</v>
      </c>
      <c r="M140" s="15">
        <f>CDCM!C4273*CDCM!$C237*10</f>
        <v>-187741.87338131803</v>
      </c>
      <c r="N140" s="15">
        <f>CDCM!D4273*CDCM!$D237*10</f>
        <v>-33684.109318037372</v>
      </c>
      <c r="O140" s="24">
        <f>IF(E140&lt;&gt;0,$L140/E140,"")</f>
        <v>0.65453305684743679</v>
      </c>
      <c r="P140" s="24">
        <f>IF(E140&lt;&gt;0,$M140/E140,"")</f>
        <v>0.2929132810346034</v>
      </c>
      <c r="Q140" s="24">
        <f>IF(E140&lt;&gt;0,$N140/E140,"")</f>
        <v>5.255366211795983E-2</v>
      </c>
      <c r="R140" s="24">
        <f>IF(D140&lt;&gt;0,$F140/D140,"")</f>
        <v>-6.7057065103473439E-3</v>
      </c>
      <c r="S140" s="24">
        <f>IF(D140&lt;&gt;0,$G140/D140,"")</f>
        <v>0</v>
      </c>
      <c r="T140" s="24">
        <f>IF(D140&lt;&gt;0,$H140/D140,"")</f>
        <v>-2.4182248108898224E-3</v>
      </c>
      <c r="U140" s="10"/>
    </row>
    <row r="141" spans="1:21">
      <c r="A141" s="11" t="s">
        <v>206</v>
      </c>
      <c r="B141" s="15">
        <f>CDCM!B238+CDCM!C238+CDCM!D238</f>
        <v>0</v>
      </c>
      <c r="C141" s="28">
        <f>CDCM!E238</f>
        <v>0</v>
      </c>
      <c r="D141" s="15">
        <f>0.01*CDCM!F$14*(CDCM!$E4274*CDCM!E238+CDCM!$F4274*CDCM!F238)+10*(CDCM!$B4274*CDCM!B238+CDCM!$C4274*CDCM!C238+CDCM!$D4274*CDCM!D238+CDCM!$G4274*CDCM!G238)</f>
        <v>0</v>
      </c>
      <c r="E141" s="15">
        <f>10*(CDCM!$B4274*CDCM!B238+CDCM!$C4274*CDCM!C238+CDCM!$D4274*CDCM!D238)</f>
        <v>0</v>
      </c>
      <c r="F141" s="15">
        <f>CDCM!E4274*CDCM!$F$14*CDCM!$E238/100</f>
        <v>0</v>
      </c>
      <c r="G141" s="15">
        <f>CDCM!F4274*CDCM!$F$14*CDCM!$F238/100</f>
        <v>0</v>
      </c>
      <c r="H141" s="15">
        <f>CDCM!G4274*CDCM!$G238*10</f>
        <v>0</v>
      </c>
      <c r="I141" s="6" t="str">
        <f>IF(B141&lt;&gt;0,0.1*D141/B141,"")</f>
        <v/>
      </c>
      <c r="J141" s="30" t="str">
        <f>IF(C141&lt;&gt;0,D141/C141,"")</f>
        <v/>
      </c>
      <c r="K141" s="6">
        <f>IF(B141&lt;&gt;0,0.1*E141/B141,0)</f>
        <v>0</v>
      </c>
      <c r="L141" s="15">
        <f>CDCM!B4274*CDCM!$B238*10</f>
        <v>0</v>
      </c>
      <c r="M141" s="15">
        <f>CDCM!C4274*CDCM!$C238*10</f>
        <v>0</v>
      </c>
      <c r="N141" s="15">
        <f>CDCM!D4274*CDCM!$D238*10</f>
        <v>0</v>
      </c>
      <c r="O141" s="24" t="str">
        <f>IF(E141&lt;&gt;0,$L141/E141,"")</f>
        <v/>
      </c>
      <c r="P141" s="24" t="str">
        <f>IF(E141&lt;&gt;0,$M141/E141,"")</f>
        <v/>
      </c>
      <c r="Q141" s="24" t="str">
        <f>IF(E141&lt;&gt;0,$N141/E141,"")</f>
        <v/>
      </c>
      <c r="R141" s="24" t="str">
        <f>IF(D141&lt;&gt;0,$F141/D141,"")</f>
        <v/>
      </c>
      <c r="S141" s="24" t="str">
        <f>IF(D141&lt;&gt;0,$G141/D141,"")</f>
        <v/>
      </c>
      <c r="T141" s="24" t="str">
        <f>IF(D141&lt;&gt;0,$H141/D141,"")</f>
        <v/>
      </c>
      <c r="U141" s="10"/>
    </row>
    <row r="143" spans="1:21" ht="21" customHeight="1">
      <c r="A143" s="1" t="s">
        <v>1311</v>
      </c>
    </row>
    <row r="144" spans="1:21">
      <c r="A144" s="2" t="s">
        <v>255</v>
      </c>
    </row>
    <row r="145" spans="1:9">
      <c r="A145" s="12" t="s">
        <v>1312</v>
      </c>
    </row>
    <row r="146" spans="1:9">
      <c r="A146" s="12" t="s">
        <v>1313</v>
      </c>
    </row>
    <row r="147" spans="1:9">
      <c r="A147" s="12" t="s">
        <v>1314</v>
      </c>
    </row>
    <row r="148" spans="1:9">
      <c r="A148" s="12" t="s">
        <v>1315</v>
      </c>
    </row>
    <row r="149" spans="1:9">
      <c r="A149" s="12" t="s">
        <v>1316</v>
      </c>
    </row>
    <row r="150" spans="1:9">
      <c r="A150" s="12" t="s">
        <v>1317</v>
      </c>
    </row>
    <row r="151" spans="1:9">
      <c r="A151" s="12" t="s">
        <v>1318</v>
      </c>
    </row>
    <row r="152" spans="1:9">
      <c r="A152" s="21" t="s">
        <v>258</v>
      </c>
      <c r="B152" s="21" t="s">
        <v>386</v>
      </c>
      <c r="C152" s="21" t="s">
        <v>386</v>
      </c>
      <c r="D152" s="21" t="s">
        <v>386</v>
      </c>
      <c r="E152" s="21" t="s">
        <v>386</v>
      </c>
      <c r="F152" s="21" t="s">
        <v>386</v>
      </c>
      <c r="G152" s="21" t="s">
        <v>386</v>
      </c>
      <c r="H152" s="21" t="s">
        <v>386</v>
      </c>
    </row>
    <row r="153" spans="1:9">
      <c r="A153" s="21" t="s">
        <v>261</v>
      </c>
      <c r="B153" s="21" t="s">
        <v>436</v>
      </c>
      <c r="C153" s="21" t="s">
        <v>437</v>
      </c>
      <c r="D153" s="21" t="s">
        <v>438</v>
      </c>
      <c r="E153" s="21" t="s">
        <v>439</v>
      </c>
      <c r="F153" s="21" t="s">
        <v>388</v>
      </c>
      <c r="G153" s="21" t="s">
        <v>440</v>
      </c>
      <c r="H153" s="21" t="s">
        <v>1319</v>
      </c>
    </row>
    <row r="155" spans="1:9" ht="45">
      <c r="B155" s="3" t="s">
        <v>1320</v>
      </c>
      <c r="C155" s="3" t="s">
        <v>1321</v>
      </c>
      <c r="D155" s="3" t="s">
        <v>1215</v>
      </c>
      <c r="E155" s="3" t="s">
        <v>1322</v>
      </c>
      <c r="F155" s="3" t="s">
        <v>1323</v>
      </c>
      <c r="G155" s="3" t="s">
        <v>1324</v>
      </c>
      <c r="H155" s="3" t="s">
        <v>1325</v>
      </c>
    </row>
    <row r="156" spans="1:9">
      <c r="A156" s="11" t="s">
        <v>1326</v>
      </c>
      <c r="B156" s="15">
        <f>SUM(B$45:B$141)</f>
        <v>8997160.8460162859</v>
      </c>
      <c r="C156" s="15">
        <f>SUM(C$45:C$141)</f>
        <v>1115236</v>
      </c>
      <c r="D156" s="15">
        <f>SUM(D$45:D$141)</f>
        <v>240266914.64727163</v>
      </c>
      <c r="E156" s="15">
        <f>SUM(E$45:E$141)</f>
        <v>202649116.4480716</v>
      </c>
      <c r="F156" s="15">
        <f>SUM($F$45:$F$141)</f>
        <v>20786364.892199989</v>
      </c>
      <c r="G156" s="15">
        <f>SUM($G$45:$G$141)</f>
        <v>15643983.567</v>
      </c>
      <c r="H156" s="15">
        <f>SUM($H$45:$H$141)</f>
        <v>1187449.74</v>
      </c>
      <c r="I156" s="10"/>
    </row>
  </sheetData>
  <sheetProtection sheet="1" objects="1" scenarios="1"/>
  <hyperlinks>
    <hyperlink ref="A6" location="'CDCM'!D13" display="x1 = 1010. Annuity proportion for customer-contributed assets (in Financial and general assumptions)"/>
    <hyperlink ref="A7" location="'CDCM'!C4161" display="x2 = 3606. Total net revenues from scaler (£) (in Revenue forecast summary)"/>
    <hyperlink ref="A8" location="'CDCM'!F4161" display="x3 = 3606. Deviation from target revenue (£) (in Revenue forecast summary)"/>
    <hyperlink ref="A9" location="'CDCM'!B324" display="x4 = 1076. Target CDCM net revenue (£/year)"/>
    <hyperlink ref="A18" location="'CDCM'!B141" display="x1 = 1053. Rate 1 units (MWh) by tariff (in Volume forecasts for the charging year)"/>
    <hyperlink ref="A19" location="'CDCM'!C141" display="x2 = 1053. Rate 2 units (MWh) by tariff (in Volume forecasts for the charging year)"/>
    <hyperlink ref="A20" location="'CDCM'!D141" display="x3 = 1053. Rate 3 units (MWh) by tariff (in Volume forecasts for the charging year)"/>
    <hyperlink ref="A21" location="'CDCM'!E141" display="x4 = 1053. MPANs by tariff (in Volume forecasts for the charging year)"/>
    <hyperlink ref="A22" location="'CDCM'!F13" display="x5 = 1010. Days in the charging year (in Financial and general assumptions)"/>
    <hyperlink ref="A23" location="'CDCM'!E4177" display="x6 = 3607. Fixed charge p/MPAN/day (in Tariffs)"/>
    <hyperlink ref="A24" location="'CDCM'!F4177" display="x7 = 3607. Capacity charge p/kVA/day (in Tariffs)"/>
    <hyperlink ref="A25" location="'CDCM'!F141" display="x8 = 1053. Import capacity (kVA) by tariff (in Volume forecasts for the charging year)"/>
    <hyperlink ref="A26" location="'CDCM'!B4177" display="x9 = 3607. Unit rate 1 p/kWh (in Tariffs)"/>
    <hyperlink ref="A27" location="'CDCM'!C4177" display="x10 = 3607. Unit rate 2 p/kWh (in Tariffs)"/>
    <hyperlink ref="A28" location="'CDCM'!D4177" display="x11 = 3607. Unit rate 3 p/kWh (in Tariffs)"/>
    <hyperlink ref="A29" location="'CDCM'!G4177" display="x12 = 3607. Reactive power charge p/kVArh (in Tariffs)"/>
    <hyperlink ref="A30" location="'CDCM'!G141" display="x13 = 1053. Reactive power units (MVArh) by tariff (in Volume forecasts for the charging year)"/>
    <hyperlink ref="A31" location="'Summary'!B44" display="x14 = All units (MWh) (in Revenue summary)"/>
    <hyperlink ref="A32" location="'Summary'!D44" display="x15 = Net revenues (£) (in Revenue summary)"/>
    <hyperlink ref="A33" location="'Summary'!C44" display="x16 = MPANs by tariff (in Volume forecasts for the charging year) (copy) (in Revenue summary)"/>
    <hyperlink ref="A34" location="'Summary'!E44" display="x17 = Revenues from unit rates (£) (in Revenue summary)"/>
    <hyperlink ref="A35" location="'Summary'!L44" display="x18 = Net revenues from unit rate 1 (£) (in Revenue summary)"/>
    <hyperlink ref="A36" location="'Summary'!M44" display="x19 = Net revenues from unit rate 2 (£) (in Revenue summary)"/>
    <hyperlink ref="A37" location="'Summary'!N44" display="x20 = Net revenues from unit rate 3 (£) (in Revenue summary)"/>
    <hyperlink ref="A38" location="'Summary'!F44" display="x21 = Revenues from fixed charges (£) (in Revenue summary)"/>
    <hyperlink ref="A39" location="'Summary'!G44" display="x22 = Revenues from capacity charges (£) (in Revenue summary)"/>
    <hyperlink ref="A40" location="'Summary'!H44" display="x23 = Revenues from reactive power charges (£) (in Revenue summary)"/>
    <hyperlink ref="A145" location="'Summary'!B44" display="x1 = 3802. All units (MWh) (in Revenue summary)"/>
    <hyperlink ref="A146" location="'Summary'!C44" display="x2 = 3802. MPANs by tariff (in Volume forecasts for the charging year) (copy) (in Revenue summary)"/>
    <hyperlink ref="A147" location="'Summary'!D44" display="x3 = 3802. Net revenues (£) (in Revenue summary)"/>
    <hyperlink ref="A148" location="'Summary'!E44" display="x4 = 3802. Revenues from unit rates (£) (in Revenue summary)"/>
    <hyperlink ref="A149" location="'Summary'!F44" display="x5 = 3802. Revenues from fixed charges (£) (in Revenue summary)"/>
    <hyperlink ref="A150" location="'Summary'!G44" display="x6 = 3802. Revenues from capacity charges (£) (in Revenue summary)"/>
    <hyperlink ref="A151" location="'Summary'!H44" display="x7 = 3802. Revenues from reactive power charges (£) (in Revenue summary)"/>
  </hyperlinks>
  <pageMargins left="0.7" right="0.7" top="0.75" bottom="0.75" header="0.3" footer="0.3"/>
  <pageSetup paperSize="9" orientation="landscape"/>
  <headerFooter>
    <oddHeader>&amp;L&amp;A&amp;C&amp;R&amp;P of &amp;N</oddHeader>
    <oddFooter>&amp;F</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AL4344"/>
  <sheetViews>
    <sheetView showGridLines="0" workbookViewId="0">
      <pane xSplit="1" ySplit="1" topLeftCell="B2" activePane="bottomRight" state="frozen"/>
      <selection pane="topRight"/>
      <selection pane="bottomLeft"/>
      <selection pane="bottomRight" activeCell="A4" sqref="A4:K332"/>
    </sheetView>
  </sheetViews>
  <sheetFormatPr defaultColWidth="8.85546875" defaultRowHeight="15"/>
  <cols>
    <col min="1" max="1" width="50.7109375" customWidth="1"/>
    <col min="2" max="251" width="28.7109375" customWidth="1"/>
  </cols>
  <sheetData>
    <row r="1" spans="1:7" ht="21" customHeight="1">
      <c r="A1" s="1" t="str">
        <f>"Input data"&amp;" for "&amp;CDCM!B7&amp;" in "&amp;CDCM!C7&amp;" ("&amp;CDCM!D7&amp;")"</f>
        <v>Input data for 0 in 0 (0)</v>
      </c>
    </row>
    <row r="2" spans="1:7">
      <c r="A2" s="2" t="s">
        <v>1635</v>
      </c>
    </row>
    <row r="4" spans="1:7" ht="21" customHeight="1">
      <c r="A4" s="1" t="s">
        <v>0</v>
      </c>
    </row>
    <row r="5" spans="1:7">
      <c r="A5" t="s">
        <v>262</v>
      </c>
    </row>
    <row r="6" spans="1:7">
      <c r="B6" s="3" t="s">
        <v>1</v>
      </c>
      <c r="C6" s="3" t="s">
        <v>2</v>
      </c>
      <c r="D6" s="3" t="s">
        <v>3</v>
      </c>
    </row>
    <row r="7" spans="1:7">
      <c r="A7" s="11" t="s">
        <v>4</v>
      </c>
      <c r="B7" s="13">
        <v>0</v>
      </c>
      <c r="C7" s="13">
        <v>0</v>
      </c>
      <c r="D7" s="13">
        <v>0</v>
      </c>
      <c r="E7" s="10" t="s">
        <v>262</v>
      </c>
    </row>
    <row r="9" spans="1:7" ht="21" customHeight="1">
      <c r="A9" s="1" t="s">
        <v>45</v>
      </c>
    </row>
    <row r="10" spans="1:7">
      <c r="A10" s="2"/>
    </row>
    <row r="11" spans="1:7">
      <c r="A11" s="2" t="s">
        <v>46</v>
      </c>
    </row>
    <row r="12" spans="1:7">
      <c r="A12" t="s">
        <v>47</v>
      </c>
    </row>
    <row r="13" spans="1:7" ht="30">
      <c r="B13" s="3" t="s">
        <v>48</v>
      </c>
      <c r="C13" s="3" t="s">
        <v>49</v>
      </c>
      <c r="D13" s="3" t="s">
        <v>50</v>
      </c>
      <c r="E13" s="3" t="s">
        <v>51</v>
      </c>
      <c r="F13" s="3" t="s">
        <v>1471</v>
      </c>
    </row>
    <row r="14" spans="1:7">
      <c r="A14" s="11" t="s">
        <v>52</v>
      </c>
      <c r="B14" s="16">
        <v>5.6000000000000001E-2</v>
      </c>
      <c r="C14" s="14">
        <v>40</v>
      </c>
      <c r="D14" s="5"/>
      <c r="E14" s="4">
        <v>0.95</v>
      </c>
      <c r="F14" s="14">
        <v>366</v>
      </c>
      <c r="G14" s="10" t="s">
        <v>262</v>
      </c>
    </row>
    <row r="16" spans="1:7" ht="21" customHeight="1">
      <c r="A16" s="1" t="s">
        <v>53</v>
      </c>
    </row>
    <row r="17" spans="1:3">
      <c r="A17" s="2"/>
    </row>
    <row r="18" spans="1:3">
      <c r="A18" s="2" t="s">
        <v>54</v>
      </c>
    </row>
    <row r="19" spans="1:3">
      <c r="A19" s="2" t="s">
        <v>55</v>
      </c>
    </row>
    <row r="20" spans="1:3">
      <c r="A20" s="2" t="s">
        <v>56</v>
      </c>
    </row>
    <row r="21" spans="1:3">
      <c r="A21" s="2" t="s">
        <v>57</v>
      </c>
    </row>
    <row r="22" spans="1:3">
      <c r="A22" t="s">
        <v>58</v>
      </c>
    </row>
    <row r="23" spans="1:3" ht="45">
      <c r="B23" s="3" t="s">
        <v>59</v>
      </c>
    </row>
    <row r="24" spans="1:3">
      <c r="A24" s="11" t="s">
        <v>60</v>
      </c>
      <c r="B24" s="16">
        <v>6.3829787234042507E-2</v>
      </c>
      <c r="C24" s="10" t="s">
        <v>262</v>
      </c>
    </row>
    <row r="25" spans="1:3">
      <c r="A25" s="11" t="s">
        <v>61</v>
      </c>
      <c r="B25" s="16">
        <v>5.2999999999999999E-2</v>
      </c>
      <c r="C25" s="10" t="s">
        <v>262</v>
      </c>
    </row>
    <row r="26" spans="1:3">
      <c r="A26" s="11" t="s">
        <v>62</v>
      </c>
      <c r="B26" s="8"/>
      <c r="C26" s="10" t="s">
        <v>262</v>
      </c>
    </row>
    <row r="27" spans="1:3">
      <c r="A27" s="11" t="s">
        <v>63</v>
      </c>
      <c r="B27" s="16">
        <v>9.9000000000000005E-2</v>
      </c>
      <c r="C27" s="10" t="s">
        <v>262</v>
      </c>
    </row>
    <row r="28" spans="1:3">
      <c r="A28" s="11" t="s">
        <v>64</v>
      </c>
      <c r="B28" s="8"/>
      <c r="C28" s="10" t="s">
        <v>262</v>
      </c>
    </row>
    <row r="29" spans="1:3">
      <c r="A29" s="11" t="s">
        <v>65</v>
      </c>
      <c r="B29" s="16">
        <v>0.37</v>
      </c>
      <c r="C29" s="10" t="s">
        <v>262</v>
      </c>
    </row>
    <row r="30" spans="1:3">
      <c r="A30" s="11" t="s">
        <v>66</v>
      </c>
      <c r="B30" s="8"/>
      <c r="C30" s="10" t="s">
        <v>262</v>
      </c>
    </row>
    <row r="31" spans="1:3">
      <c r="A31" s="11" t="s">
        <v>67</v>
      </c>
      <c r="B31" s="8"/>
      <c r="C31" s="10" t="s">
        <v>262</v>
      </c>
    </row>
    <row r="33" spans="1:3" ht="21" customHeight="1">
      <c r="A33" s="1" t="s">
        <v>68</v>
      </c>
    </row>
    <row r="34" spans="1:3">
      <c r="A34" t="s">
        <v>262</v>
      </c>
    </row>
    <row r="35" spans="1:3">
      <c r="B35" s="3" t="s">
        <v>69</v>
      </c>
    </row>
    <row r="36" spans="1:3">
      <c r="A36" s="11" t="s">
        <v>64</v>
      </c>
      <c r="B36" s="16">
        <v>0.3</v>
      </c>
      <c r="C36" s="10" t="s">
        <v>262</v>
      </c>
    </row>
    <row r="38" spans="1:3" ht="21" customHeight="1">
      <c r="A38" s="1" t="s">
        <v>70</v>
      </c>
    </row>
    <row r="40" spans="1:3" ht="30">
      <c r="B40" s="3" t="s">
        <v>71</v>
      </c>
    </row>
    <row r="41" spans="1:3">
      <c r="A41" s="11" t="s">
        <v>71</v>
      </c>
      <c r="B41" s="14">
        <v>500</v>
      </c>
      <c r="C41" s="10" t="s">
        <v>262</v>
      </c>
    </row>
    <row r="43" spans="1:3" ht="21" customHeight="1">
      <c r="A43" s="1" t="s">
        <v>72</v>
      </c>
    </row>
    <row r="45" spans="1:3">
      <c r="B45" s="3" t="s">
        <v>73</v>
      </c>
    </row>
    <row r="46" spans="1:3">
      <c r="A46" s="11" t="s">
        <v>61</v>
      </c>
      <c r="B46" s="14">
        <v>142108265.07994723</v>
      </c>
      <c r="C46" s="10" t="s">
        <v>262</v>
      </c>
    </row>
    <row r="47" spans="1:3">
      <c r="A47" s="11" t="s">
        <v>62</v>
      </c>
      <c r="B47" s="14">
        <v>12551806.595453963</v>
      </c>
      <c r="C47" s="10" t="s">
        <v>262</v>
      </c>
    </row>
    <row r="48" spans="1:3">
      <c r="A48" s="11" t="s">
        <v>63</v>
      </c>
      <c r="B48" s="14">
        <v>37245816.184986286</v>
      </c>
      <c r="C48" s="10" t="s">
        <v>262</v>
      </c>
    </row>
    <row r="49" spans="1:10">
      <c r="A49" s="11" t="s">
        <v>64</v>
      </c>
      <c r="B49" s="14">
        <v>32403600.7477559</v>
      </c>
      <c r="C49" s="10" t="s">
        <v>262</v>
      </c>
    </row>
    <row r="50" spans="1:10">
      <c r="A50" s="11" t="s">
        <v>69</v>
      </c>
      <c r="B50" s="14">
        <v>10434446.958951704</v>
      </c>
      <c r="C50" s="10" t="s">
        <v>262</v>
      </c>
    </row>
    <row r="51" spans="1:10">
      <c r="A51" s="11" t="s">
        <v>65</v>
      </c>
      <c r="B51" s="14">
        <v>156306385.15206638</v>
      </c>
      <c r="C51" s="10" t="s">
        <v>262</v>
      </c>
    </row>
    <row r="52" spans="1:10">
      <c r="A52" s="11" t="s">
        <v>66</v>
      </c>
      <c r="B52" s="14">
        <v>60386081.809178337</v>
      </c>
      <c r="C52" s="10" t="s">
        <v>262</v>
      </c>
    </row>
    <row r="53" spans="1:10">
      <c r="A53" s="11" t="s">
        <v>67</v>
      </c>
      <c r="B53" s="14">
        <v>124367949.58196104</v>
      </c>
      <c r="C53" s="10" t="s">
        <v>262</v>
      </c>
    </row>
    <row r="55" spans="1:10" ht="21" customHeight="1">
      <c r="A55" s="1" t="s">
        <v>74</v>
      </c>
    </row>
    <row r="57" spans="1:10">
      <c r="B57" s="3" t="s">
        <v>75</v>
      </c>
      <c r="C57" s="3" t="s">
        <v>76</v>
      </c>
      <c r="D57" s="3" t="s">
        <v>77</v>
      </c>
      <c r="E57" s="3" t="s">
        <v>78</v>
      </c>
      <c r="F57" s="3" t="s">
        <v>79</v>
      </c>
      <c r="G57" s="3" t="s">
        <v>80</v>
      </c>
      <c r="H57" s="3" t="s">
        <v>81</v>
      </c>
      <c r="I57" s="3" t="s">
        <v>82</v>
      </c>
    </row>
    <row r="58" spans="1:10">
      <c r="A58" s="11" t="s">
        <v>83</v>
      </c>
      <c r="B58" s="14">
        <v>5590.6378921503519</v>
      </c>
      <c r="C58" s="14">
        <v>628.89086827906715</v>
      </c>
      <c r="D58" s="14">
        <v>765.67015161583527</v>
      </c>
      <c r="E58" s="14">
        <v>567.83627290302593</v>
      </c>
      <c r="F58" s="14">
        <v>1290.8182162242881</v>
      </c>
      <c r="G58" s="14">
        <v>994.20508625521404</v>
      </c>
      <c r="H58" s="14">
        <v>0</v>
      </c>
      <c r="I58" s="14">
        <v>519.97506052877361</v>
      </c>
      <c r="J58" s="10" t="s">
        <v>262</v>
      </c>
    </row>
    <row r="60" spans="1:10" ht="21" customHeight="1">
      <c r="A60" s="1" t="s">
        <v>84</v>
      </c>
    </row>
    <row r="62" spans="1:10">
      <c r="B62" s="3" t="s">
        <v>85</v>
      </c>
      <c r="C62" s="3" t="s">
        <v>86</v>
      </c>
      <c r="D62" s="3" t="s">
        <v>87</v>
      </c>
      <c r="E62" s="3" t="s">
        <v>88</v>
      </c>
      <c r="F62" s="3" t="s">
        <v>89</v>
      </c>
    </row>
    <row r="63" spans="1:10">
      <c r="A63" s="11" t="s">
        <v>90</v>
      </c>
      <c r="B63" s="14">
        <v>9863.6680973421971</v>
      </c>
      <c r="C63" s="14">
        <v>4755.6075955337519</v>
      </c>
      <c r="D63" s="14">
        <v>0</v>
      </c>
      <c r="E63" s="14">
        <v>0</v>
      </c>
      <c r="F63" s="14">
        <v>0</v>
      </c>
      <c r="G63" s="10" t="s">
        <v>262</v>
      </c>
    </row>
    <row r="65" spans="1:10" ht="21" customHeight="1">
      <c r="A65" s="1" t="s">
        <v>91</v>
      </c>
    </row>
    <row r="66" spans="1:10">
      <c r="B66">
        <v>34</v>
      </c>
      <c r="C66">
        <v>35</v>
      </c>
      <c r="D66">
        <v>36</v>
      </c>
      <c r="E66">
        <v>37</v>
      </c>
      <c r="F66">
        <v>38</v>
      </c>
      <c r="G66">
        <v>39</v>
      </c>
      <c r="H66">
        <v>40</v>
      </c>
      <c r="I66">
        <v>41</v>
      </c>
    </row>
    <row r="67" spans="1:10">
      <c r="B67" s="3" t="s">
        <v>75</v>
      </c>
      <c r="C67" s="3" t="s">
        <v>76</v>
      </c>
      <c r="D67" s="3" t="s">
        <v>77</v>
      </c>
      <c r="E67" s="3" t="s">
        <v>78</v>
      </c>
      <c r="F67" s="3" t="s">
        <v>79</v>
      </c>
      <c r="G67" s="3" t="s">
        <v>80</v>
      </c>
      <c r="H67" s="3" t="s">
        <v>81</v>
      </c>
      <c r="I67" s="3" t="s">
        <v>82</v>
      </c>
    </row>
    <row r="68" spans="1:10">
      <c r="A68" s="11" t="s">
        <v>92</v>
      </c>
      <c r="B68" s="16">
        <v>0.05</v>
      </c>
      <c r="C68" s="16">
        <v>0</v>
      </c>
      <c r="D68" s="16">
        <v>0</v>
      </c>
      <c r="E68" s="16">
        <v>0</v>
      </c>
      <c r="F68" s="16">
        <v>0</v>
      </c>
      <c r="G68" s="16">
        <v>0</v>
      </c>
      <c r="H68" s="16">
        <v>0</v>
      </c>
      <c r="I68" s="16">
        <v>0</v>
      </c>
      <c r="J68" s="10" t="s">
        <v>262</v>
      </c>
    </row>
    <row r="69" spans="1:10">
      <c r="A69" s="11" t="s">
        <v>93</v>
      </c>
      <c r="B69" s="16">
        <v>0.05</v>
      </c>
      <c r="C69" s="16">
        <v>0</v>
      </c>
      <c r="D69" s="16">
        <v>0</v>
      </c>
      <c r="E69" s="16">
        <v>0</v>
      </c>
      <c r="F69" s="16">
        <v>0</v>
      </c>
      <c r="G69" s="16">
        <v>0</v>
      </c>
      <c r="H69" s="16">
        <v>0</v>
      </c>
      <c r="I69" s="16">
        <v>0</v>
      </c>
      <c r="J69" s="10" t="s">
        <v>262</v>
      </c>
    </row>
    <row r="70" spans="1:10">
      <c r="A70" s="11" t="s">
        <v>94</v>
      </c>
      <c r="B70" s="16">
        <v>0</v>
      </c>
      <c r="C70" s="16">
        <v>1</v>
      </c>
      <c r="D70" s="16">
        <v>0</v>
      </c>
      <c r="E70" s="16">
        <v>0</v>
      </c>
      <c r="F70" s="16">
        <v>0</v>
      </c>
      <c r="G70" s="16">
        <v>0</v>
      </c>
      <c r="H70" s="16">
        <v>0</v>
      </c>
      <c r="I70" s="16">
        <v>0</v>
      </c>
      <c r="J70" s="10" t="s">
        <v>262</v>
      </c>
    </row>
    <row r="71" spans="1:10">
      <c r="A71" s="11" t="s">
        <v>95</v>
      </c>
      <c r="B71" s="16">
        <v>0</v>
      </c>
      <c r="C71" s="16">
        <v>1</v>
      </c>
      <c r="D71" s="16">
        <v>0</v>
      </c>
      <c r="E71" s="16">
        <v>0</v>
      </c>
      <c r="F71" s="16">
        <v>0</v>
      </c>
      <c r="G71" s="16">
        <v>0</v>
      </c>
      <c r="H71" s="16">
        <v>0</v>
      </c>
      <c r="I71" s="16">
        <v>0</v>
      </c>
      <c r="J71" s="10" t="s">
        <v>262</v>
      </c>
    </row>
    <row r="72" spans="1:10">
      <c r="A72" s="11" t="s">
        <v>96</v>
      </c>
      <c r="B72" s="16">
        <v>0</v>
      </c>
      <c r="C72" s="16">
        <v>0</v>
      </c>
      <c r="D72" s="16">
        <v>1</v>
      </c>
      <c r="E72" s="16">
        <v>0</v>
      </c>
      <c r="F72" s="16">
        <v>0</v>
      </c>
      <c r="G72" s="16">
        <v>0</v>
      </c>
      <c r="H72" s="16">
        <v>0</v>
      </c>
      <c r="I72" s="16">
        <v>0</v>
      </c>
      <c r="J72" s="10"/>
    </row>
    <row r="73" spans="1:10">
      <c r="A73" s="11" t="s">
        <v>97</v>
      </c>
      <c r="B73" s="16">
        <v>0</v>
      </c>
      <c r="C73" s="16">
        <v>0</v>
      </c>
      <c r="D73" s="16">
        <v>0</v>
      </c>
      <c r="E73" s="16">
        <v>1</v>
      </c>
      <c r="F73" s="16">
        <v>0</v>
      </c>
      <c r="G73" s="16">
        <v>0</v>
      </c>
      <c r="H73" s="16">
        <v>0</v>
      </c>
      <c r="I73" s="16">
        <v>0</v>
      </c>
      <c r="J73" s="10"/>
    </row>
    <row r="74" spans="1:10">
      <c r="A74" s="11" t="s">
        <v>1647</v>
      </c>
      <c r="B74" s="16">
        <v>0.05</v>
      </c>
      <c r="C74" s="16">
        <v>0</v>
      </c>
      <c r="D74" s="16">
        <v>0</v>
      </c>
      <c r="E74" s="16">
        <v>0</v>
      </c>
      <c r="F74" s="16">
        <v>0</v>
      </c>
      <c r="G74" s="16">
        <v>0</v>
      </c>
      <c r="H74" s="16">
        <v>0</v>
      </c>
      <c r="I74" s="16">
        <v>0</v>
      </c>
      <c r="J74" s="10" t="s">
        <v>262</v>
      </c>
    </row>
    <row r="75" spans="1:10">
      <c r="A75" s="11" t="s">
        <v>1646</v>
      </c>
      <c r="B75" s="16">
        <v>0</v>
      </c>
      <c r="C75" s="16">
        <v>1</v>
      </c>
      <c r="D75" s="16">
        <v>0</v>
      </c>
      <c r="E75" s="16">
        <v>0</v>
      </c>
      <c r="F75" s="16">
        <v>0</v>
      </c>
      <c r="G75" s="16">
        <v>0</v>
      </c>
      <c r="H75" s="16">
        <v>0</v>
      </c>
      <c r="I75" s="16">
        <v>0</v>
      </c>
      <c r="J75" s="10" t="s">
        <v>262</v>
      </c>
    </row>
    <row r="76" spans="1:10">
      <c r="A76" s="11" t="s">
        <v>98</v>
      </c>
      <c r="B76" s="16">
        <v>0</v>
      </c>
      <c r="C76" s="16">
        <v>0</v>
      </c>
      <c r="D76" s="16">
        <v>0</v>
      </c>
      <c r="E76" s="16">
        <v>0</v>
      </c>
      <c r="F76" s="16">
        <v>1</v>
      </c>
      <c r="G76" s="16">
        <v>0</v>
      </c>
      <c r="H76" s="16">
        <v>0</v>
      </c>
      <c r="I76" s="16">
        <v>0</v>
      </c>
      <c r="J76" s="10" t="s">
        <v>262</v>
      </c>
    </row>
    <row r="77" spans="1:10">
      <c r="A77" s="11" t="s">
        <v>99</v>
      </c>
      <c r="B77" s="16">
        <v>0</v>
      </c>
      <c r="C77" s="16">
        <v>0</v>
      </c>
      <c r="D77" s="16">
        <v>0</v>
      </c>
      <c r="E77" s="16">
        <v>0</v>
      </c>
      <c r="F77" s="16">
        <v>0</v>
      </c>
      <c r="G77" s="16">
        <v>1</v>
      </c>
      <c r="H77" s="16">
        <v>0</v>
      </c>
      <c r="I77" s="16">
        <v>0</v>
      </c>
      <c r="J77" s="10" t="s">
        <v>262</v>
      </c>
    </row>
    <row r="78" spans="1:10">
      <c r="A78" s="11" t="s">
        <v>1645</v>
      </c>
      <c r="B78" s="16">
        <v>0</v>
      </c>
      <c r="C78" s="16">
        <v>0</v>
      </c>
      <c r="D78" s="16">
        <v>0</v>
      </c>
      <c r="E78" s="16">
        <v>0</v>
      </c>
      <c r="F78" s="16">
        <v>0</v>
      </c>
      <c r="G78" s="16">
        <v>0</v>
      </c>
      <c r="H78" s="16">
        <v>1</v>
      </c>
      <c r="I78" s="16">
        <v>0</v>
      </c>
      <c r="J78" s="10" t="s">
        <v>262</v>
      </c>
    </row>
    <row r="79" spans="1:10">
      <c r="A79" s="11" t="s">
        <v>100</v>
      </c>
      <c r="B79" s="16">
        <v>0</v>
      </c>
      <c r="C79" s="16">
        <v>0</v>
      </c>
      <c r="D79" s="16">
        <v>0</v>
      </c>
      <c r="E79" s="16">
        <v>0</v>
      </c>
      <c r="F79" s="16">
        <v>0</v>
      </c>
      <c r="G79" s="16">
        <v>0</v>
      </c>
      <c r="H79" s="16">
        <v>1</v>
      </c>
      <c r="I79" s="16">
        <v>0</v>
      </c>
      <c r="J79" s="10" t="s">
        <v>262</v>
      </c>
    </row>
    <row r="80" spans="1:10">
      <c r="A80" s="11" t="s">
        <v>101</v>
      </c>
      <c r="B80" s="16">
        <v>0</v>
      </c>
      <c r="C80" s="16">
        <v>0</v>
      </c>
      <c r="D80" s="16">
        <v>0</v>
      </c>
      <c r="E80" s="16">
        <v>0</v>
      </c>
      <c r="F80" s="16">
        <v>0</v>
      </c>
      <c r="G80" s="16">
        <v>0</v>
      </c>
      <c r="H80" s="16">
        <v>1</v>
      </c>
      <c r="I80" s="16">
        <v>0</v>
      </c>
      <c r="J80" s="10" t="s">
        <v>262</v>
      </c>
    </row>
    <row r="81" spans="1:10">
      <c r="A81" s="11" t="s">
        <v>102</v>
      </c>
      <c r="B81" s="16">
        <v>0</v>
      </c>
      <c r="C81" s="16">
        <v>0</v>
      </c>
      <c r="D81" s="16">
        <v>0</v>
      </c>
      <c r="E81" s="16">
        <v>0</v>
      </c>
      <c r="F81" s="16">
        <v>0</v>
      </c>
      <c r="G81" s="16">
        <v>0</v>
      </c>
      <c r="H81" s="16">
        <v>0</v>
      </c>
      <c r="I81" s="16">
        <v>0</v>
      </c>
      <c r="J81" s="10" t="s">
        <v>262</v>
      </c>
    </row>
    <row r="82" spans="1:10">
      <c r="A82" s="11" t="s">
        <v>103</v>
      </c>
      <c r="B82" s="16">
        <v>0</v>
      </c>
      <c r="C82" s="16">
        <v>0</v>
      </c>
      <c r="D82" s="16">
        <v>0</v>
      </c>
      <c r="E82" s="16">
        <v>0</v>
      </c>
      <c r="F82" s="16">
        <v>0</v>
      </c>
      <c r="G82" s="16">
        <v>0</v>
      </c>
      <c r="H82" s="16">
        <v>0</v>
      </c>
      <c r="I82" s="16">
        <v>0</v>
      </c>
      <c r="J82" s="10" t="s">
        <v>262</v>
      </c>
    </row>
    <row r="83" spans="1:10">
      <c r="A83" s="11" t="s">
        <v>104</v>
      </c>
      <c r="B83" s="16">
        <v>0</v>
      </c>
      <c r="C83" s="16">
        <v>0</v>
      </c>
      <c r="D83" s="16">
        <v>0</v>
      </c>
      <c r="E83" s="16">
        <v>0</v>
      </c>
      <c r="F83" s="16">
        <v>0</v>
      </c>
      <c r="G83" s="16">
        <v>0</v>
      </c>
      <c r="H83" s="16">
        <v>0</v>
      </c>
      <c r="I83" s="16">
        <v>0</v>
      </c>
      <c r="J83" s="10" t="s">
        <v>262</v>
      </c>
    </row>
    <row r="85" spans="1:10" ht="21" customHeight="1">
      <c r="A85" s="1" t="s">
        <v>105</v>
      </c>
    </row>
    <row r="86" spans="1:10">
      <c r="A86" s="2"/>
    </row>
    <row r="87" spans="1:10">
      <c r="A87" s="2" t="s">
        <v>106</v>
      </c>
    </row>
    <row r="88" spans="1:10">
      <c r="A88" t="s">
        <v>107</v>
      </c>
    </row>
    <row r="89" spans="1:10">
      <c r="B89" s="3" t="s">
        <v>75</v>
      </c>
      <c r="C89" s="3" t="s">
        <v>76</v>
      </c>
      <c r="D89" s="3" t="s">
        <v>77</v>
      </c>
      <c r="E89" s="3" t="s">
        <v>78</v>
      </c>
      <c r="F89" s="3" t="s">
        <v>79</v>
      </c>
      <c r="G89" s="3" t="s">
        <v>80</v>
      </c>
      <c r="H89" s="3" t="s">
        <v>81</v>
      </c>
      <c r="I89" s="3" t="s">
        <v>82</v>
      </c>
    </row>
    <row r="90" spans="1:10">
      <c r="A90" s="11" t="s">
        <v>108</v>
      </c>
      <c r="B90" s="4">
        <v>0</v>
      </c>
      <c r="C90" s="4">
        <v>0</v>
      </c>
      <c r="D90" s="4">
        <v>0</v>
      </c>
      <c r="E90" s="4">
        <v>0</v>
      </c>
      <c r="F90" s="4">
        <v>0</v>
      </c>
      <c r="G90" s="4">
        <v>0</v>
      </c>
      <c r="H90" s="4">
        <v>0</v>
      </c>
      <c r="I90" s="4">
        <v>0.48759999999999998</v>
      </c>
      <c r="J90" s="10" t="s">
        <v>262</v>
      </c>
    </row>
    <row r="92" spans="1:10" ht="21" customHeight="1">
      <c r="A92" s="1" t="s">
        <v>109</v>
      </c>
    </row>
    <row r="93" spans="1:10">
      <c r="B93">
        <v>22</v>
      </c>
      <c r="C93">
        <v>23</v>
      </c>
      <c r="D93">
        <v>24</v>
      </c>
      <c r="E93">
        <v>25</v>
      </c>
      <c r="F93">
        <v>26</v>
      </c>
    </row>
    <row r="94" spans="1:10">
      <c r="B94" s="3" t="s">
        <v>85</v>
      </c>
      <c r="C94" s="3" t="s">
        <v>86</v>
      </c>
      <c r="D94" s="3" t="s">
        <v>87</v>
      </c>
      <c r="E94" s="3" t="s">
        <v>88</v>
      </c>
      <c r="F94" s="3" t="s">
        <v>89</v>
      </c>
    </row>
    <row r="95" spans="1:10">
      <c r="A95" s="11" t="s">
        <v>110</v>
      </c>
      <c r="B95" s="16">
        <v>1</v>
      </c>
      <c r="C95" s="16">
        <v>0</v>
      </c>
      <c r="D95" s="16">
        <v>0</v>
      </c>
      <c r="E95" s="16">
        <v>0</v>
      </c>
      <c r="F95" s="16">
        <v>0</v>
      </c>
      <c r="G95" s="10" t="s">
        <v>262</v>
      </c>
    </row>
    <row r="96" spans="1:10">
      <c r="A96" s="11" t="s">
        <v>111</v>
      </c>
      <c r="B96" s="16">
        <v>1</v>
      </c>
      <c r="C96" s="16">
        <v>0</v>
      </c>
      <c r="D96" s="16">
        <v>0</v>
      </c>
      <c r="E96" s="16">
        <v>0</v>
      </c>
      <c r="F96" s="16">
        <v>0</v>
      </c>
      <c r="G96" s="10" t="s">
        <v>262</v>
      </c>
    </row>
    <row r="97" spans="1:9">
      <c r="A97" s="11" t="s">
        <v>112</v>
      </c>
      <c r="B97" s="16">
        <v>0</v>
      </c>
      <c r="C97" s="16">
        <v>1</v>
      </c>
      <c r="D97" s="16">
        <v>0</v>
      </c>
      <c r="E97" s="16">
        <v>0</v>
      </c>
      <c r="F97" s="16">
        <v>0</v>
      </c>
      <c r="G97" s="10"/>
    </row>
    <row r="98" spans="1:9">
      <c r="A98" s="11" t="s">
        <v>113</v>
      </c>
      <c r="B98" s="16">
        <v>0</v>
      </c>
      <c r="C98" s="16">
        <v>1</v>
      </c>
      <c r="D98" s="16">
        <v>0</v>
      </c>
      <c r="E98" s="16">
        <v>0</v>
      </c>
      <c r="F98" s="16">
        <v>0</v>
      </c>
      <c r="G98" s="10"/>
    </row>
    <row r="100" spans="1:9" ht="21" customHeight="1">
      <c r="A100" s="1" t="s">
        <v>114</v>
      </c>
    </row>
    <row r="101" spans="1:9">
      <c r="A101" s="2" t="s">
        <v>262</v>
      </c>
    </row>
    <row r="102" spans="1:9">
      <c r="A102" t="s">
        <v>115</v>
      </c>
    </row>
    <row r="103" spans="1:9">
      <c r="B103" s="3" t="s">
        <v>61</v>
      </c>
      <c r="C103" s="3" t="s">
        <v>62</v>
      </c>
      <c r="D103" s="3" t="s">
        <v>63</v>
      </c>
      <c r="E103" s="3" t="s">
        <v>64</v>
      </c>
      <c r="F103" s="3" t="s">
        <v>65</v>
      </c>
      <c r="G103" s="3" t="s">
        <v>66</v>
      </c>
      <c r="H103" s="3" t="s">
        <v>67</v>
      </c>
    </row>
    <row r="104" spans="1:9">
      <c r="A104" s="11" t="s">
        <v>116</v>
      </c>
      <c r="B104" s="4">
        <v>1.0097</v>
      </c>
      <c r="C104" s="4">
        <v>1.0142</v>
      </c>
      <c r="D104" s="4">
        <v>1.0269999999999999</v>
      </c>
      <c r="E104" s="4">
        <v>1.0348999999999999</v>
      </c>
      <c r="F104" s="4">
        <v>1.0439000000000001</v>
      </c>
      <c r="G104" s="4">
        <v>1.0640000000000001</v>
      </c>
      <c r="H104" s="4">
        <v>1.085</v>
      </c>
      <c r="I104" s="10" t="s">
        <v>262</v>
      </c>
    </row>
    <row r="106" spans="1:9" ht="21" customHeight="1">
      <c r="A106" s="1" t="s">
        <v>117</v>
      </c>
    </row>
    <row r="107" spans="1:9">
      <c r="A107" s="2" t="s">
        <v>262</v>
      </c>
    </row>
    <row r="108" spans="1:9">
      <c r="A108" t="s">
        <v>118</v>
      </c>
    </row>
    <row r="109" spans="1:9">
      <c r="B109" s="3" t="s">
        <v>119</v>
      </c>
      <c r="C109" s="3" t="s">
        <v>120</v>
      </c>
      <c r="D109" s="3" t="s">
        <v>121</v>
      </c>
      <c r="E109" s="3" t="s">
        <v>122</v>
      </c>
      <c r="F109" s="3" t="s">
        <v>123</v>
      </c>
    </row>
    <row r="110" spans="1:9">
      <c r="A110" s="11" t="s">
        <v>124</v>
      </c>
      <c r="B110" s="8"/>
      <c r="C110" s="16">
        <v>0.31963777193131604</v>
      </c>
      <c r="D110" s="16">
        <v>0.63846715658715969</v>
      </c>
      <c r="E110" s="16">
        <v>0.45349156811055275</v>
      </c>
      <c r="F110" s="16">
        <v>0.34444405043316395</v>
      </c>
      <c r="G110" s="10" t="s">
        <v>262</v>
      </c>
    </row>
    <row r="112" spans="1:9" ht="21" customHeight="1">
      <c r="A112" s="1" t="s">
        <v>125</v>
      </c>
    </row>
    <row r="113" spans="1:4">
      <c r="A113" s="2"/>
    </row>
    <row r="114" spans="1:4">
      <c r="A114" t="s">
        <v>126</v>
      </c>
    </row>
    <row r="115" spans="1:4">
      <c r="B115" s="3" t="s">
        <v>127</v>
      </c>
      <c r="C115" s="3" t="s">
        <v>128</v>
      </c>
    </row>
    <row r="116" spans="1:4">
      <c r="A116" s="11" t="s">
        <v>92</v>
      </c>
      <c r="B116" s="4">
        <v>0.85759516031476501</v>
      </c>
      <c r="C116" s="4">
        <v>0.44003574379694171</v>
      </c>
      <c r="D116" s="10" t="s">
        <v>262</v>
      </c>
    </row>
    <row r="117" spans="1:4">
      <c r="A117" s="11" t="s">
        <v>93</v>
      </c>
      <c r="B117" s="4">
        <v>0.28862941872680464</v>
      </c>
      <c r="C117" s="4">
        <v>0.24997898838710139</v>
      </c>
      <c r="D117" s="10" t="s">
        <v>262</v>
      </c>
    </row>
    <row r="118" spans="1:4">
      <c r="A118" s="11" t="s">
        <v>129</v>
      </c>
      <c r="B118" s="8"/>
      <c r="C118" s="4">
        <v>0.25721840525583911</v>
      </c>
      <c r="D118" s="10" t="s">
        <v>262</v>
      </c>
    </row>
    <row r="119" spans="1:4">
      <c r="A119" s="11" t="s">
        <v>94</v>
      </c>
      <c r="B119" s="4">
        <v>0.63063099162887759</v>
      </c>
      <c r="C119" s="4">
        <v>0.41141924234461547</v>
      </c>
      <c r="D119" s="10" t="s">
        <v>262</v>
      </c>
    </row>
    <row r="120" spans="1:4">
      <c r="A120" s="11" t="s">
        <v>95</v>
      </c>
      <c r="B120" s="4">
        <v>0.72549700914004911</v>
      </c>
      <c r="C120" s="4">
        <v>0.55069014186184517</v>
      </c>
      <c r="D120" s="10" t="s">
        <v>262</v>
      </c>
    </row>
    <row r="121" spans="1:4">
      <c r="A121" s="11" t="s">
        <v>130</v>
      </c>
      <c r="B121" s="8"/>
      <c r="C121" s="4">
        <v>0.28056285937387915</v>
      </c>
      <c r="D121" s="10" t="s">
        <v>262</v>
      </c>
    </row>
    <row r="122" spans="1:4">
      <c r="A122" s="11" t="s">
        <v>96</v>
      </c>
      <c r="B122" s="4">
        <v>0.77193739705983777</v>
      </c>
      <c r="C122" s="4">
        <v>0.54202643928388716</v>
      </c>
      <c r="D122" s="10" t="s">
        <v>262</v>
      </c>
    </row>
    <row r="123" spans="1:4">
      <c r="A123" s="11" t="s">
        <v>97</v>
      </c>
      <c r="B123" s="4">
        <v>0.77193739705983777</v>
      </c>
      <c r="C123" s="4">
        <v>0.54202643928388716</v>
      </c>
      <c r="D123" s="10" t="s">
        <v>262</v>
      </c>
    </row>
    <row r="124" spans="1:4">
      <c r="A124" s="11" t="s">
        <v>110</v>
      </c>
      <c r="B124" s="4">
        <v>0.5147350712369958</v>
      </c>
      <c r="C124" s="4">
        <v>0.37297691878220807</v>
      </c>
      <c r="D124" s="10" t="s">
        <v>262</v>
      </c>
    </row>
    <row r="125" spans="1:4">
      <c r="A125" s="11" t="s">
        <v>1647</v>
      </c>
      <c r="B125" s="4">
        <v>0.82538148778829346</v>
      </c>
      <c r="C125" s="4">
        <v>0.42910585224417291</v>
      </c>
      <c r="D125" s="10" t="s">
        <v>262</v>
      </c>
    </row>
    <row r="126" spans="1:4">
      <c r="A126" s="11" t="s">
        <v>1646</v>
      </c>
      <c r="B126" s="4">
        <v>0.64712654999949026</v>
      </c>
      <c r="C126" s="4">
        <v>0.43505682103944454</v>
      </c>
      <c r="D126" s="10" t="s">
        <v>262</v>
      </c>
    </row>
    <row r="127" spans="1:4">
      <c r="A127" s="11" t="s">
        <v>98</v>
      </c>
      <c r="B127" s="4">
        <v>0.76513583991019607</v>
      </c>
      <c r="C127" s="4">
        <v>0.58780986597120821</v>
      </c>
      <c r="D127" s="10" t="s">
        <v>262</v>
      </c>
    </row>
    <row r="128" spans="1:4">
      <c r="A128" s="11" t="s">
        <v>99</v>
      </c>
      <c r="B128" s="4">
        <v>0.76513583991019607</v>
      </c>
      <c r="C128" s="4">
        <v>0.58780986597120821</v>
      </c>
      <c r="D128" s="10"/>
    </row>
    <row r="129" spans="1:8">
      <c r="A129" s="11" t="s">
        <v>111</v>
      </c>
      <c r="B129" s="4">
        <v>0.85096169090232854</v>
      </c>
      <c r="C129" s="4">
        <v>0.73762935772845595</v>
      </c>
      <c r="D129" s="10"/>
    </row>
    <row r="130" spans="1:8">
      <c r="A130" s="11" t="s">
        <v>131</v>
      </c>
      <c r="B130" s="4">
        <v>1</v>
      </c>
      <c r="C130" s="4">
        <v>1</v>
      </c>
      <c r="D130" s="10" t="s">
        <v>262</v>
      </c>
    </row>
    <row r="131" spans="1:8">
      <c r="A131" s="11" t="s">
        <v>132</v>
      </c>
      <c r="B131" s="4">
        <v>0.99388353345735381</v>
      </c>
      <c r="C131" s="4">
        <v>0.47309957267296898</v>
      </c>
      <c r="D131" s="10"/>
    </row>
    <row r="132" spans="1:8">
      <c r="A132" s="11" t="s">
        <v>133</v>
      </c>
      <c r="B132" s="4">
        <v>0.75050100200400804</v>
      </c>
      <c r="C132" s="4">
        <v>0.24527046603861322</v>
      </c>
      <c r="D132" s="10"/>
    </row>
    <row r="133" spans="1:8">
      <c r="A133" s="11" t="s">
        <v>134</v>
      </c>
      <c r="B133" s="4">
        <v>0</v>
      </c>
      <c r="C133" s="4">
        <v>0.51417471713179308</v>
      </c>
      <c r="D133" s="10"/>
    </row>
    <row r="134" spans="1:8">
      <c r="A134" s="11" t="s">
        <v>135</v>
      </c>
      <c r="B134" s="4">
        <v>0.97898179724204526</v>
      </c>
      <c r="C134" s="4">
        <v>0.47429529311509694</v>
      </c>
      <c r="D134" s="10" t="s">
        <v>262</v>
      </c>
    </row>
    <row r="136" spans="1:8" ht="21" customHeight="1">
      <c r="A136" s="1" t="s">
        <v>136</v>
      </c>
    </row>
    <row r="137" spans="1:8">
      <c r="A137" s="2" t="s">
        <v>262</v>
      </c>
      <c r="B137">
        <v>28</v>
      </c>
      <c r="C137">
        <v>29</v>
      </c>
      <c r="D137">
        <v>30</v>
      </c>
      <c r="E137">
        <v>31</v>
      </c>
      <c r="F137">
        <v>32</v>
      </c>
      <c r="G137">
        <v>33</v>
      </c>
    </row>
    <row r="138" spans="1:8">
      <c r="A138" s="2" t="s">
        <v>137</v>
      </c>
    </row>
    <row r="139" spans="1:8">
      <c r="A139" s="2" t="s">
        <v>138</v>
      </c>
    </row>
    <row r="140" spans="1:8">
      <c r="A140" t="s">
        <v>139</v>
      </c>
    </row>
    <row r="141" spans="1:8">
      <c r="B141" s="3" t="s">
        <v>140</v>
      </c>
      <c r="C141" s="3" t="s">
        <v>141</v>
      </c>
      <c r="D141" s="3" t="s">
        <v>142</v>
      </c>
      <c r="E141" s="3" t="s">
        <v>143</v>
      </c>
      <c r="F141" s="3" t="s">
        <v>144</v>
      </c>
      <c r="G141" s="3" t="s">
        <v>145</v>
      </c>
    </row>
    <row r="142" spans="1:8">
      <c r="A142" s="17" t="s">
        <v>146</v>
      </c>
      <c r="B142" s="18">
        <v>0</v>
      </c>
      <c r="C142" s="18">
        <v>0</v>
      </c>
      <c r="D142" s="18">
        <v>0</v>
      </c>
      <c r="E142" s="18">
        <v>0</v>
      </c>
      <c r="F142" s="18">
        <v>0</v>
      </c>
      <c r="G142" s="18">
        <v>0</v>
      </c>
      <c r="H142" s="10"/>
    </row>
    <row r="143" spans="1:8">
      <c r="A143" s="11" t="s">
        <v>92</v>
      </c>
      <c r="B143" s="4">
        <v>3242264.655750392</v>
      </c>
      <c r="C143" s="8">
        <v>0</v>
      </c>
      <c r="D143" s="8">
        <v>0</v>
      </c>
      <c r="E143" s="14">
        <v>964740</v>
      </c>
      <c r="F143" s="8">
        <v>0</v>
      </c>
      <c r="G143" s="8">
        <v>0</v>
      </c>
      <c r="H143" s="10"/>
    </row>
    <row r="144" spans="1:8">
      <c r="A144" s="11" t="s">
        <v>147</v>
      </c>
      <c r="B144" s="4">
        <v>2870.3349849031706</v>
      </c>
      <c r="C144" s="8">
        <v>0</v>
      </c>
      <c r="D144" s="8">
        <v>0</v>
      </c>
      <c r="E144" s="14">
        <v>893</v>
      </c>
      <c r="F144" s="8">
        <v>0</v>
      </c>
      <c r="G144" s="8">
        <v>0</v>
      </c>
      <c r="H144" s="10"/>
    </row>
    <row r="145" spans="1:8">
      <c r="A145" s="11" t="s">
        <v>148</v>
      </c>
      <c r="B145" s="4">
        <v>11376.82714716523</v>
      </c>
      <c r="C145" s="8">
        <v>0</v>
      </c>
      <c r="D145" s="8">
        <v>0</v>
      </c>
      <c r="E145" s="14">
        <v>3843</v>
      </c>
      <c r="F145" s="8">
        <v>0</v>
      </c>
      <c r="G145" s="8">
        <v>0</v>
      </c>
      <c r="H145" s="10"/>
    </row>
    <row r="146" spans="1:8">
      <c r="A146" s="17" t="s">
        <v>149</v>
      </c>
      <c r="B146" s="18">
        <v>0</v>
      </c>
      <c r="C146" s="18">
        <v>0</v>
      </c>
      <c r="D146" s="18">
        <v>0</v>
      </c>
      <c r="E146" s="18">
        <v>0</v>
      </c>
      <c r="F146" s="18">
        <v>0</v>
      </c>
      <c r="G146" s="18">
        <v>0</v>
      </c>
      <c r="H146" s="10"/>
    </row>
    <row r="147" spans="1:8">
      <c r="A147" s="11" t="s">
        <v>93</v>
      </c>
      <c r="B147" s="4">
        <v>174847.88943573163</v>
      </c>
      <c r="C147" s="4">
        <v>180701.55632797108</v>
      </c>
      <c r="D147" s="8">
        <v>0</v>
      </c>
      <c r="E147" s="14">
        <v>58083</v>
      </c>
      <c r="F147" s="8">
        <v>0</v>
      </c>
      <c r="G147" s="8">
        <v>0</v>
      </c>
      <c r="H147" s="10"/>
    </row>
    <row r="148" spans="1:8">
      <c r="A148" s="11" t="s">
        <v>150</v>
      </c>
      <c r="B148" s="4">
        <v>262.98719224025433</v>
      </c>
      <c r="C148" s="4">
        <v>6585.6695296550351</v>
      </c>
      <c r="D148" s="8">
        <v>0</v>
      </c>
      <c r="E148" s="14">
        <v>21</v>
      </c>
      <c r="F148" s="8">
        <v>0</v>
      </c>
      <c r="G148" s="8">
        <v>0</v>
      </c>
      <c r="H148" s="10"/>
    </row>
    <row r="149" spans="1:8">
      <c r="A149" s="11" t="s">
        <v>151</v>
      </c>
      <c r="B149" s="4">
        <v>256.3006220521292</v>
      </c>
      <c r="C149" s="4">
        <v>349.8743055243375</v>
      </c>
      <c r="D149" s="8">
        <v>0</v>
      </c>
      <c r="E149" s="14">
        <v>80</v>
      </c>
      <c r="F149" s="8">
        <v>0</v>
      </c>
      <c r="G149" s="8">
        <v>0</v>
      </c>
      <c r="H149" s="10"/>
    </row>
    <row r="150" spans="1:8">
      <c r="A150" s="17" t="s">
        <v>152</v>
      </c>
      <c r="B150" s="18">
        <v>0</v>
      </c>
      <c r="C150" s="18">
        <v>0</v>
      </c>
      <c r="D150" s="18">
        <v>0</v>
      </c>
      <c r="E150" s="18">
        <v>0</v>
      </c>
      <c r="F150" s="18">
        <v>0</v>
      </c>
      <c r="G150" s="18">
        <v>0</v>
      </c>
      <c r="H150" s="10"/>
    </row>
    <row r="151" spans="1:8">
      <c r="A151" s="11" t="s">
        <v>129</v>
      </c>
      <c r="B151" s="4">
        <v>3613.1440975729997</v>
      </c>
      <c r="C151" s="8">
        <v>0</v>
      </c>
      <c r="D151" s="8">
        <v>0</v>
      </c>
      <c r="E151" s="14">
        <v>0</v>
      </c>
      <c r="F151" s="8">
        <v>0</v>
      </c>
      <c r="G151" s="8">
        <v>0</v>
      </c>
      <c r="H151" s="10"/>
    </row>
    <row r="152" spans="1:8">
      <c r="A152" s="11" t="s">
        <v>153</v>
      </c>
      <c r="B152" s="4">
        <v>0</v>
      </c>
      <c r="C152" s="8">
        <v>0</v>
      </c>
      <c r="D152" s="8">
        <v>0</v>
      </c>
      <c r="E152" s="14">
        <v>0</v>
      </c>
      <c r="F152" s="8">
        <v>0</v>
      </c>
      <c r="G152" s="8">
        <v>0</v>
      </c>
      <c r="H152" s="10"/>
    </row>
    <row r="153" spans="1:8">
      <c r="A153" s="11" t="s">
        <v>154</v>
      </c>
      <c r="B153" s="4">
        <v>0</v>
      </c>
      <c r="C153" s="8">
        <v>0</v>
      </c>
      <c r="D153" s="8">
        <v>0</v>
      </c>
      <c r="E153" s="14">
        <v>0</v>
      </c>
      <c r="F153" s="8">
        <v>0</v>
      </c>
      <c r="G153" s="8">
        <v>0</v>
      </c>
      <c r="H153" s="10"/>
    </row>
    <row r="154" spans="1:8">
      <c r="A154" s="17" t="s">
        <v>155</v>
      </c>
      <c r="B154" s="18">
        <v>0</v>
      </c>
      <c r="C154" s="18">
        <v>0</v>
      </c>
      <c r="D154" s="18">
        <v>0</v>
      </c>
      <c r="E154" s="18">
        <v>0</v>
      </c>
      <c r="F154" s="18">
        <v>0</v>
      </c>
      <c r="G154" s="18">
        <v>0</v>
      </c>
      <c r="H154" s="10"/>
    </row>
    <row r="155" spans="1:8">
      <c r="A155" s="11" t="s">
        <v>94</v>
      </c>
      <c r="B155" s="4">
        <v>823197.95863007847</v>
      </c>
      <c r="C155" s="8">
        <v>0</v>
      </c>
      <c r="D155" s="8">
        <v>0</v>
      </c>
      <c r="E155" s="14">
        <v>63787</v>
      </c>
      <c r="F155" s="8">
        <v>0</v>
      </c>
      <c r="G155" s="8">
        <v>0</v>
      </c>
      <c r="H155" s="10"/>
    </row>
    <row r="156" spans="1:8">
      <c r="A156" s="11" t="s">
        <v>156</v>
      </c>
      <c r="B156" s="4">
        <v>56.743614639178105</v>
      </c>
      <c r="C156" s="8">
        <v>0</v>
      </c>
      <c r="D156" s="8">
        <v>0</v>
      </c>
      <c r="E156" s="14">
        <v>4</v>
      </c>
      <c r="F156" s="8">
        <v>0</v>
      </c>
      <c r="G156" s="8">
        <v>0</v>
      </c>
      <c r="H156" s="10"/>
    </row>
    <row r="157" spans="1:8">
      <c r="A157" s="11" t="s">
        <v>157</v>
      </c>
      <c r="B157" s="4">
        <v>2717.0896874333912</v>
      </c>
      <c r="C157" s="8">
        <v>0</v>
      </c>
      <c r="D157" s="8">
        <v>0</v>
      </c>
      <c r="E157" s="14">
        <v>110</v>
      </c>
      <c r="F157" s="8">
        <v>0</v>
      </c>
      <c r="G157" s="8">
        <v>0</v>
      </c>
      <c r="H157" s="10"/>
    </row>
    <row r="158" spans="1:8">
      <c r="A158" s="17" t="s">
        <v>158</v>
      </c>
      <c r="B158" s="18">
        <v>0</v>
      </c>
      <c r="C158" s="18">
        <v>0</v>
      </c>
      <c r="D158" s="18">
        <v>0</v>
      </c>
      <c r="E158" s="18">
        <v>0</v>
      </c>
      <c r="F158" s="18">
        <v>0</v>
      </c>
      <c r="G158" s="18">
        <v>0</v>
      </c>
      <c r="H158" s="10"/>
    </row>
    <row r="159" spans="1:8">
      <c r="A159" s="11" t="s">
        <v>95</v>
      </c>
      <c r="B159" s="4">
        <v>206801.40932707267</v>
      </c>
      <c r="C159" s="4">
        <v>92825.537560705707</v>
      </c>
      <c r="D159" s="8">
        <v>0</v>
      </c>
      <c r="E159" s="14">
        <v>13441</v>
      </c>
      <c r="F159" s="8">
        <v>0</v>
      </c>
      <c r="G159" s="8">
        <v>0</v>
      </c>
      <c r="H159" s="10"/>
    </row>
    <row r="160" spans="1:8">
      <c r="A160" s="11" t="s">
        <v>159</v>
      </c>
      <c r="B160" s="4">
        <v>0</v>
      </c>
      <c r="C160" s="4">
        <v>0</v>
      </c>
      <c r="D160" s="8">
        <v>0</v>
      </c>
      <c r="E160" s="14">
        <v>0</v>
      </c>
      <c r="F160" s="8">
        <v>0</v>
      </c>
      <c r="G160" s="8">
        <v>0</v>
      </c>
      <c r="H160" s="10"/>
    </row>
    <row r="161" spans="1:8">
      <c r="A161" s="11" t="s">
        <v>160</v>
      </c>
      <c r="B161" s="4">
        <v>845.42130757211385</v>
      </c>
      <c r="C161" s="4">
        <v>110.3044954465786</v>
      </c>
      <c r="D161" s="8">
        <v>0</v>
      </c>
      <c r="E161" s="14">
        <v>9</v>
      </c>
      <c r="F161" s="8">
        <v>0</v>
      </c>
      <c r="G161" s="8">
        <v>0</v>
      </c>
      <c r="H161" s="10"/>
    </row>
    <row r="162" spans="1:8">
      <c r="A162" s="17" t="s">
        <v>161</v>
      </c>
      <c r="B162" s="18">
        <v>0</v>
      </c>
      <c r="C162" s="18">
        <v>0</v>
      </c>
      <c r="D162" s="18">
        <v>0</v>
      </c>
      <c r="E162" s="18">
        <v>0</v>
      </c>
      <c r="F162" s="18">
        <v>0</v>
      </c>
      <c r="G162" s="18">
        <v>0</v>
      </c>
      <c r="H162" s="10"/>
    </row>
    <row r="163" spans="1:8">
      <c r="A163" s="11" t="s">
        <v>130</v>
      </c>
      <c r="B163" s="4">
        <v>2262.2093594051807</v>
      </c>
      <c r="C163" s="8">
        <v>0</v>
      </c>
      <c r="D163" s="8">
        <v>0</v>
      </c>
      <c r="E163" s="14">
        <v>0</v>
      </c>
      <c r="F163" s="8">
        <v>0</v>
      </c>
      <c r="G163" s="8">
        <v>0</v>
      </c>
      <c r="H163" s="10"/>
    </row>
    <row r="164" spans="1:8" ht="30">
      <c r="A164" s="11" t="s">
        <v>162</v>
      </c>
      <c r="B164" s="4">
        <v>0</v>
      </c>
      <c r="C164" s="8">
        <v>0</v>
      </c>
      <c r="D164" s="8">
        <v>0</v>
      </c>
      <c r="E164" s="14">
        <v>0</v>
      </c>
      <c r="F164" s="8">
        <v>0</v>
      </c>
      <c r="G164" s="8">
        <v>0</v>
      </c>
      <c r="H164" s="10"/>
    </row>
    <row r="165" spans="1:8" ht="30">
      <c r="A165" s="11" t="s">
        <v>163</v>
      </c>
      <c r="B165" s="4">
        <v>0</v>
      </c>
      <c r="C165" s="8">
        <v>0</v>
      </c>
      <c r="D165" s="8">
        <v>0</v>
      </c>
      <c r="E165" s="14">
        <v>0</v>
      </c>
      <c r="F165" s="8">
        <v>0</v>
      </c>
      <c r="G165" s="8">
        <v>0</v>
      </c>
      <c r="H165" s="10"/>
    </row>
    <row r="166" spans="1:8">
      <c r="A166" s="17" t="s">
        <v>164</v>
      </c>
      <c r="B166" s="18">
        <v>0</v>
      </c>
      <c r="C166" s="18">
        <v>0</v>
      </c>
      <c r="D166" s="18">
        <v>0</v>
      </c>
      <c r="E166" s="18">
        <v>0</v>
      </c>
      <c r="F166" s="18">
        <v>0</v>
      </c>
      <c r="G166" s="18">
        <v>0</v>
      </c>
      <c r="H166" s="10"/>
    </row>
    <row r="167" spans="1:8">
      <c r="A167" s="11" t="s">
        <v>96</v>
      </c>
      <c r="B167" s="4">
        <v>379857.67107737559</v>
      </c>
      <c r="C167" s="4">
        <v>99896.639824048034</v>
      </c>
      <c r="D167" s="8">
        <v>0</v>
      </c>
      <c r="E167" s="14">
        <v>4728</v>
      </c>
      <c r="F167" s="8">
        <v>0</v>
      </c>
      <c r="G167" s="8">
        <v>0</v>
      </c>
      <c r="H167" s="10"/>
    </row>
    <row r="168" spans="1:8">
      <c r="A168" s="11" t="s">
        <v>165</v>
      </c>
      <c r="B168" s="4">
        <v>0</v>
      </c>
      <c r="C168" s="4">
        <v>0</v>
      </c>
      <c r="D168" s="8">
        <v>0</v>
      </c>
      <c r="E168" s="14">
        <v>0</v>
      </c>
      <c r="F168" s="8">
        <v>0</v>
      </c>
      <c r="G168" s="8">
        <v>0</v>
      </c>
      <c r="H168" s="10"/>
    </row>
    <row r="169" spans="1:8">
      <c r="A169" s="11" t="s">
        <v>166</v>
      </c>
      <c r="B169" s="4">
        <v>1094.445243350247</v>
      </c>
      <c r="C169" s="4">
        <v>144.85382852920503</v>
      </c>
      <c r="D169" s="8">
        <v>0</v>
      </c>
      <c r="E169" s="14">
        <v>10</v>
      </c>
      <c r="F169" s="8">
        <v>0</v>
      </c>
      <c r="G169" s="8">
        <v>0</v>
      </c>
      <c r="H169" s="10"/>
    </row>
    <row r="170" spans="1:8">
      <c r="A170" s="17" t="s">
        <v>167</v>
      </c>
      <c r="B170" s="18">
        <v>0</v>
      </c>
      <c r="C170" s="18">
        <v>0</v>
      </c>
      <c r="D170" s="18">
        <v>0</v>
      </c>
      <c r="E170" s="18">
        <v>0</v>
      </c>
      <c r="F170" s="18">
        <v>0</v>
      </c>
      <c r="G170" s="18">
        <v>0</v>
      </c>
      <c r="H170" s="10"/>
    </row>
    <row r="171" spans="1:8">
      <c r="A171" s="11" t="s">
        <v>97</v>
      </c>
      <c r="B171" s="4">
        <v>517.04045501631606</v>
      </c>
      <c r="C171" s="4">
        <v>136.89783135294002</v>
      </c>
      <c r="D171" s="8">
        <v>0</v>
      </c>
      <c r="E171" s="14">
        <v>4</v>
      </c>
      <c r="F171" s="8">
        <v>0</v>
      </c>
      <c r="G171" s="8">
        <v>0</v>
      </c>
      <c r="H171" s="10"/>
    </row>
    <row r="172" spans="1:8">
      <c r="A172" s="17" t="s">
        <v>168</v>
      </c>
      <c r="B172" s="18">
        <v>0</v>
      </c>
      <c r="C172" s="18">
        <v>0</v>
      </c>
      <c r="D172" s="18">
        <v>0</v>
      </c>
      <c r="E172" s="18">
        <v>0</v>
      </c>
      <c r="F172" s="18">
        <v>0</v>
      </c>
      <c r="G172" s="18">
        <v>0</v>
      </c>
      <c r="H172" s="10"/>
    </row>
    <row r="173" spans="1:8">
      <c r="A173" s="11" t="s">
        <v>110</v>
      </c>
      <c r="B173" s="4">
        <v>753.60754258070392</v>
      </c>
      <c r="C173" s="4">
        <v>161.59553674706402</v>
      </c>
      <c r="D173" s="8">
        <v>0</v>
      </c>
      <c r="E173" s="14">
        <v>13</v>
      </c>
      <c r="F173" s="8">
        <v>0</v>
      </c>
      <c r="G173" s="8">
        <v>0</v>
      </c>
      <c r="H173" s="10"/>
    </row>
    <row r="174" spans="1:8">
      <c r="A174" s="17" t="s">
        <v>1650</v>
      </c>
      <c r="B174" s="18">
        <v>0</v>
      </c>
      <c r="C174" s="18">
        <v>0</v>
      </c>
      <c r="D174" s="18">
        <v>0</v>
      </c>
      <c r="E174" s="18">
        <v>0</v>
      </c>
      <c r="F174" s="18">
        <v>0</v>
      </c>
      <c r="G174" s="18">
        <v>0</v>
      </c>
      <c r="H174" s="10"/>
    </row>
    <row r="175" spans="1:8">
      <c r="A175" s="11" t="s">
        <v>1647</v>
      </c>
      <c r="B175" s="4">
        <v>0</v>
      </c>
      <c r="C175" s="4">
        <v>0</v>
      </c>
      <c r="D175" s="4">
        <v>0</v>
      </c>
      <c r="E175" s="14">
        <v>0</v>
      </c>
      <c r="F175" s="8">
        <v>0</v>
      </c>
      <c r="G175" s="8">
        <v>0</v>
      </c>
      <c r="H175" s="10"/>
    </row>
    <row r="176" spans="1:8">
      <c r="A176" s="11" t="s">
        <v>1644</v>
      </c>
      <c r="B176" s="4">
        <v>0</v>
      </c>
      <c r="C176" s="4">
        <v>0</v>
      </c>
      <c r="D176" s="4">
        <v>0</v>
      </c>
      <c r="E176" s="14">
        <v>0</v>
      </c>
      <c r="F176" s="8">
        <v>0</v>
      </c>
      <c r="G176" s="8">
        <v>0</v>
      </c>
      <c r="H176" s="10"/>
    </row>
    <row r="177" spans="1:8">
      <c r="A177" s="11" t="s">
        <v>1641</v>
      </c>
      <c r="B177" s="4">
        <v>0</v>
      </c>
      <c r="C177" s="4">
        <v>0</v>
      </c>
      <c r="D177" s="4">
        <v>0</v>
      </c>
      <c r="E177" s="14">
        <v>0</v>
      </c>
      <c r="F177" s="8">
        <v>0</v>
      </c>
      <c r="G177" s="8">
        <v>0</v>
      </c>
      <c r="H177" s="10"/>
    </row>
    <row r="178" spans="1:8">
      <c r="A178" s="17" t="s">
        <v>1649</v>
      </c>
      <c r="B178" s="18">
        <v>0</v>
      </c>
      <c r="C178" s="18">
        <v>0</v>
      </c>
      <c r="D178" s="18">
        <v>0</v>
      </c>
      <c r="E178" s="18">
        <v>0</v>
      </c>
      <c r="F178" s="18">
        <v>0</v>
      </c>
      <c r="G178" s="18">
        <v>0</v>
      </c>
      <c r="H178" s="10"/>
    </row>
    <row r="179" spans="1:8">
      <c r="A179" s="11" t="s">
        <v>1646</v>
      </c>
      <c r="B179" s="4">
        <v>0</v>
      </c>
      <c r="C179" s="4">
        <v>0</v>
      </c>
      <c r="D179" s="4">
        <v>0</v>
      </c>
      <c r="E179" s="14">
        <v>0</v>
      </c>
      <c r="F179" s="8">
        <v>0</v>
      </c>
      <c r="G179" s="8">
        <v>0</v>
      </c>
      <c r="H179" s="10"/>
    </row>
    <row r="180" spans="1:8">
      <c r="A180" s="11" t="s">
        <v>1643</v>
      </c>
      <c r="B180" s="4">
        <v>0</v>
      </c>
      <c r="C180" s="4">
        <v>0</v>
      </c>
      <c r="D180" s="4">
        <v>0</v>
      </c>
      <c r="E180" s="14">
        <v>0</v>
      </c>
      <c r="F180" s="8">
        <v>0</v>
      </c>
      <c r="G180" s="8">
        <v>0</v>
      </c>
      <c r="H180" s="10"/>
    </row>
    <row r="181" spans="1:8">
      <c r="A181" s="11" t="s">
        <v>1640</v>
      </c>
      <c r="B181" s="4">
        <v>0</v>
      </c>
      <c r="C181" s="4">
        <v>0</v>
      </c>
      <c r="D181" s="4">
        <v>0</v>
      </c>
      <c r="E181" s="14">
        <v>0</v>
      </c>
      <c r="F181" s="8">
        <v>0</v>
      </c>
      <c r="G181" s="8">
        <v>0</v>
      </c>
      <c r="H181" s="10"/>
    </row>
    <row r="182" spans="1:8">
      <c r="A182" s="17" t="s">
        <v>169</v>
      </c>
      <c r="B182" s="18">
        <v>0</v>
      </c>
      <c r="C182" s="18">
        <v>0</v>
      </c>
      <c r="D182" s="18">
        <v>0</v>
      </c>
      <c r="E182" s="18">
        <v>0</v>
      </c>
      <c r="F182" s="18">
        <v>0</v>
      </c>
      <c r="G182" s="18">
        <v>0</v>
      </c>
      <c r="H182" s="10"/>
    </row>
    <row r="183" spans="1:8">
      <c r="A183" s="11" t="s">
        <v>98</v>
      </c>
      <c r="B183" s="4">
        <v>105280.60773635872</v>
      </c>
      <c r="C183" s="4">
        <v>666906.91242974426</v>
      </c>
      <c r="D183" s="4">
        <v>493272.90471028525</v>
      </c>
      <c r="E183" s="14">
        <v>3111</v>
      </c>
      <c r="F183" s="14">
        <v>578357</v>
      </c>
      <c r="G183" s="4">
        <v>121162</v>
      </c>
      <c r="H183" s="10"/>
    </row>
    <row r="184" spans="1:8">
      <c r="A184" s="11" t="s">
        <v>170</v>
      </c>
      <c r="B184" s="4">
        <v>0</v>
      </c>
      <c r="C184" s="4">
        <v>0</v>
      </c>
      <c r="D184" s="4">
        <v>0</v>
      </c>
      <c r="E184" s="14">
        <v>0</v>
      </c>
      <c r="F184" s="14">
        <v>0</v>
      </c>
      <c r="G184" s="4">
        <v>0</v>
      </c>
      <c r="H184" s="10"/>
    </row>
    <row r="185" spans="1:8">
      <c r="A185" s="11" t="s">
        <v>171</v>
      </c>
      <c r="B185" s="4">
        <v>1624.4972466770896</v>
      </c>
      <c r="C185" s="4">
        <v>8871.8152011074108</v>
      </c>
      <c r="D185" s="4">
        <v>6399.4295359516582</v>
      </c>
      <c r="E185" s="14">
        <v>20</v>
      </c>
      <c r="F185" s="14">
        <v>6985</v>
      </c>
      <c r="G185" s="4">
        <v>558</v>
      </c>
      <c r="H185" s="10"/>
    </row>
    <row r="186" spans="1:8">
      <c r="A186" s="17" t="s">
        <v>172</v>
      </c>
      <c r="B186" s="18">
        <v>0</v>
      </c>
      <c r="C186" s="18">
        <v>0</v>
      </c>
      <c r="D186" s="18">
        <v>0</v>
      </c>
      <c r="E186" s="18">
        <v>0</v>
      </c>
      <c r="F186" s="18">
        <v>0</v>
      </c>
      <c r="G186" s="18">
        <v>0</v>
      </c>
      <c r="H186" s="10"/>
    </row>
    <row r="187" spans="1:8">
      <c r="A187" s="11" t="s">
        <v>99</v>
      </c>
      <c r="B187" s="4">
        <v>1334.7866543787895</v>
      </c>
      <c r="C187" s="4">
        <v>7582.7475303968895</v>
      </c>
      <c r="D187" s="4">
        <v>5677.7124349562873</v>
      </c>
      <c r="E187" s="14">
        <v>18</v>
      </c>
      <c r="F187" s="14">
        <v>6238</v>
      </c>
      <c r="G187" s="4">
        <v>1758</v>
      </c>
      <c r="H187" s="10"/>
    </row>
    <row r="188" spans="1:8">
      <c r="A188" s="11" t="s">
        <v>173</v>
      </c>
      <c r="B188" s="4">
        <v>439.053309912727</v>
      </c>
      <c r="C188" s="4">
        <v>2397.787892191192</v>
      </c>
      <c r="D188" s="4">
        <v>1729.5755502572049</v>
      </c>
      <c r="E188" s="14">
        <v>5</v>
      </c>
      <c r="F188" s="14">
        <v>1067</v>
      </c>
      <c r="G188" s="4">
        <v>113</v>
      </c>
      <c r="H188" s="10"/>
    </row>
    <row r="189" spans="1:8">
      <c r="A189" s="17" t="s">
        <v>174</v>
      </c>
      <c r="B189" s="18">
        <v>0</v>
      </c>
      <c r="C189" s="18">
        <v>0</v>
      </c>
      <c r="D189" s="18">
        <v>0</v>
      </c>
      <c r="E189" s="18">
        <v>0</v>
      </c>
      <c r="F189" s="18">
        <v>0</v>
      </c>
      <c r="G189" s="18">
        <v>0</v>
      </c>
      <c r="H189" s="10"/>
    </row>
    <row r="190" spans="1:8">
      <c r="A190" s="11" t="s">
        <v>111</v>
      </c>
      <c r="B190" s="4">
        <v>168212.60808699948</v>
      </c>
      <c r="C190" s="4">
        <v>1015521.4628002136</v>
      </c>
      <c r="D190" s="4">
        <v>952719.56575802783</v>
      </c>
      <c r="E190" s="14">
        <v>595</v>
      </c>
      <c r="F190" s="14">
        <v>696791</v>
      </c>
      <c r="G190" s="4">
        <v>160841</v>
      </c>
      <c r="H190" s="10"/>
    </row>
    <row r="191" spans="1:8">
      <c r="A191" s="11" t="s">
        <v>175</v>
      </c>
      <c r="B191" s="4">
        <v>687.38919403029763</v>
      </c>
      <c r="C191" s="4">
        <v>3897.128225748751</v>
      </c>
      <c r="D191" s="4">
        <v>3071.0997928152483</v>
      </c>
      <c r="E191" s="14">
        <v>5</v>
      </c>
      <c r="F191" s="14">
        <v>4903</v>
      </c>
      <c r="G191" s="4">
        <v>358</v>
      </c>
      <c r="H191" s="10"/>
    </row>
    <row r="192" spans="1:8">
      <c r="A192" s="17" t="s">
        <v>176</v>
      </c>
      <c r="B192" s="18">
        <v>0</v>
      </c>
      <c r="C192" s="18">
        <v>0</v>
      </c>
      <c r="D192" s="18">
        <v>0</v>
      </c>
      <c r="E192" s="18">
        <v>0</v>
      </c>
      <c r="F192" s="18">
        <v>0</v>
      </c>
      <c r="G192" s="18">
        <v>0</v>
      </c>
      <c r="H192" s="10"/>
    </row>
    <row r="193" spans="1:8">
      <c r="A193" s="11" t="s">
        <v>131</v>
      </c>
      <c r="B193" s="4">
        <v>7597.2957335261272</v>
      </c>
      <c r="C193" s="8">
        <v>0</v>
      </c>
      <c r="D193" s="8">
        <v>0</v>
      </c>
      <c r="E193" s="14">
        <v>514</v>
      </c>
      <c r="F193" s="8">
        <v>0</v>
      </c>
      <c r="G193" s="8">
        <v>0</v>
      </c>
      <c r="H193" s="10"/>
    </row>
    <row r="194" spans="1:8">
      <c r="A194" s="11" t="s">
        <v>177</v>
      </c>
      <c r="B194" s="4">
        <v>38.57379559770618</v>
      </c>
      <c r="C194" s="8">
        <v>0</v>
      </c>
      <c r="D194" s="8">
        <v>0</v>
      </c>
      <c r="E194" s="14">
        <v>0</v>
      </c>
      <c r="F194" s="8">
        <v>0</v>
      </c>
      <c r="G194" s="8">
        <v>0</v>
      </c>
      <c r="H194" s="10"/>
    </row>
    <row r="195" spans="1:8">
      <c r="A195" s="11" t="s">
        <v>178</v>
      </c>
      <c r="B195" s="4">
        <v>180.42533538088671</v>
      </c>
      <c r="C195" s="8">
        <v>0</v>
      </c>
      <c r="D195" s="8">
        <v>0</v>
      </c>
      <c r="E195" s="14">
        <v>0</v>
      </c>
      <c r="F195" s="8">
        <v>0</v>
      </c>
      <c r="G195" s="8">
        <v>0</v>
      </c>
      <c r="H195" s="10"/>
    </row>
    <row r="196" spans="1:8">
      <c r="A196" s="17" t="s">
        <v>179</v>
      </c>
      <c r="B196" s="18">
        <v>0</v>
      </c>
      <c r="C196" s="18">
        <v>0</v>
      </c>
      <c r="D196" s="18">
        <v>0</v>
      </c>
      <c r="E196" s="18">
        <v>0</v>
      </c>
      <c r="F196" s="18">
        <v>0</v>
      </c>
      <c r="G196" s="18">
        <v>0</v>
      </c>
      <c r="H196" s="10"/>
    </row>
    <row r="197" spans="1:8">
      <c r="A197" s="11" t="s">
        <v>132</v>
      </c>
      <c r="B197" s="4">
        <v>5952.5744876907111</v>
      </c>
      <c r="C197" s="8">
        <v>0</v>
      </c>
      <c r="D197" s="8">
        <v>0</v>
      </c>
      <c r="E197" s="14">
        <v>749</v>
      </c>
      <c r="F197" s="8">
        <v>0</v>
      </c>
      <c r="G197" s="8">
        <v>0</v>
      </c>
      <c r="H197" s="10"/>
    </row>
    <row r="198" spans="1:8">
      <c r="A198" s="11" t="s">
        <v>180</v>
      </c>
      <c r="B198" s="4">
        <v>5.4179338644077735</v>
      </c>
      <c r="C198" s="8">
        <v>0</v>
      </c>
      <c r="D198" s="8">
        <v>0</v>
      </c>
      <c r="E198" s="14">
        <v>0</v>
      </c>
      <c r="F198" s="8">
        <v>0</v>
      </c>
      <c r="G198" s="8">
        <v>0</v>
      </c>
      <c r="H198" s="10"/>
    </row>
    <row r="199" spans="1:8">
      <c r="A199" s="11" t="s">
        <v>181</v>
      </c>
      <c r="B199" s="4">
        <v>258.82704553611961</v>
      </c>
      <c r="C199" s="8">
        <v>0</v>
      </c>
      <c r="D199" s="8">
        <v>0</v>
      </c>
      <c r="E199" s="14">
        <v>0</v>
      </c>
      <c r="F199" s="8">
        <v>0</v>
      </c>
      <c r="G199" s="8">
        <v>0</v>
      </c>
      <c r="H199" s="10"/>
    </row>
    <row r="200" spans="1:8">
      <c r="A200" s="17" t="s">
        <v>182</v>
      </c>
      <c r="B200" s="18">
        <v>0</v>
      </c>
      <c r="C200" s="18">
        <v>0</v>
      </c>
      <c r="D200" s="18">
        <v>0</v>
      </c>
      <c r="E200" s="18">
        <v>0</v>
      </c>
      <c r="F200" s="18">
        <v>0</v>
      </c>
      <c r="G200" s="18">
        <v>0</v>
      </c>
      <c r="H200" s="10"/>
    </row>
    <row r="201" spans="1:8">
      <c r="A201" s="11" t="s">
        <v>133</v>
      </c>
      <c r="B201" s="4">
        <v>378.27038018128798</v>
      </c>
      <c r="C201" s="8">
        <v>0</v>
      </c>
      <c r="D201" s="8">
        <v>0</v>
      </c>
      <c r="E201" s="14">
        <v>84</v>
      </c>
      <c r="F201" s="8">
        <v>0</v>
      </c>
      <c r="G201" s="8">
        <v>0</v>
      </c>
      <c r="H201" s="10"/>
    </row>
    <row r="202" spans="1:8">
      <c r="A202" s="11" t="s">
        <v>183</v>
      </c>
      <c r="B202" s="4">
        <v>0</v>
      </c>
      <c r="C202" s="8">
        <v>0</v>
      </c>
      <c r="D202" s="8">
        <v>0</v>
      </c>
      <c r="E202" s="14">
        <v>0</v>
      </c>
      <c r="F202" s="8">
        <v>0</v>
      </c>
      <c r="G202" s="8">
        <v>0</v>
      </c>
      <c r="H202" s="10"/>
    </row>
    <row r="203" spans="1:8">
      <c r="A203" s="11" t="s">
        <v>184</v>
      </c>
      <c r="B203" s="4">
        <v>0</v>
      </c>
      <c r="C203" s="8">
        <v>0</v>
      </c>
      <c r="D203" s="8">
        <v>0</v>
      </c>
      <c r="E203" s="14">
        <v>0</v>
      </c>
      <c r="F203" s="8">
        <v>0</v>
      </c>
      <c r="G203" s="8">
        <v>0</v>
      </c>
      <c r="H203" s="10"/>
    </row>
    <row r="204" spans="1:8">
      <c r="A204" s="17" t="s">
        <v>185</v>
      </c>
      <c r="B204" s="18">
        <v>0</v>
      </c>
      <c r="C204" s="18">
        <v>0</v>
      </c>
      <c r="D204" s="18">
        <v>0</v>
      </c>
      <c r="E204" s="18">
        <v>0</v>
      </c>
      <c r="F204" s="18">
        <v>0</v>
      </c>
      <c r="G204" s="18">
        <v>0</v>
      </c>
      <c r="H204" s="10"/>
    </row>
    <row r="205" spans="1:8">
      <c r="A205" s="11" t="s">
        <v>134</v>
      </c>
      <c r="B205" s="4">
        <v>0</v>
      </c>
      <c r="C205" s="8">
        <v>0</v>
      </c>
      <c r="D205" s="8">
        <v>0</v>
      </c>
      <c r="E205" s="14">
        <v>1</v>
      </c>
      <c r="F205" s="8">
        <v>0</v>
      </c>
      <c r="G205" s="8">
        <v>0</v>
      </c>
      <c r="H205" s="10"/>
    </row>
    <row r="206" spans="1:8">
      <c r="A206" s="11" t="s">
        <v>186</v>
      </c>
      <c r="B206" s="4">
        <v>0</v>
      </c>
      <c r="C206" s="8">
        <v>0</v>
      </c>
      <c r="D206" s="8">
        <v>0</v>
      </c>
      <c r="E206" s="14">
        <v>0</v>
      </c>
      <c r="F206" s="8">
        <v>0</v>
      </c>
      <c r="G206" s="8">
        <v>0</v>
      </c>
      <c r="H206" s="10"/>
    </row>
    <row r="207" spans="1:8">
      <c r="A207" s="11" t="s">
        <v>187</v>
      </c>
      <c r="B207" s="4">
        <v>0</v>
      </c>
      <c r="C207" s="8">
        <v>0</v>
      </c>
      <c r="D207" s="8">
        <v>0</v>
      </c>
      <c r="E207" s="14">
        <v>0</v>
      </c>
      <c r="F207" s="8">
        <v>0</v>
      </c>
      <c r="G207" s="8">
        <v>0</v>
      </c>
      <c r="H207" s="10"/>
    </row>
    <row r="208" spans="1:8">
      <c r="A208" s="17" t="s">
        <v>188</v>
      </c>
      <c r="B208" s="18">
        <v>0</v>
      </c>
      <c r="C208" s="18">
        <v>0</v>
      </c>
      <c r="D208" s="18">
        <v>0</v>
      </c>
      <c r="E208" s="18">
        <v>0</v>
      </c>
      <c r="F208" s="18">
        <v>0</v>
      </c>
      <c r="G208" s="18">
        <v>0</v>
      </c>
      <c r="H208" s="10"/>
    </row>
    <row r="209" spans="1:8">
      <c r="A209" s="11" t="s">
        <v>135</v>
      </c>
      <c r="B209" s="4">
        <v>6228.0959976775684</v>
      </c>
      <c r="C209" s="4">
        <v>35918.74585465651</v>
      </c>
      <c r="D209" s="4">
        <v>102458.54632787764</v>
      </c>
      <c r="E209" s="14">
        <v>26</v>
      </c>
      <c r="F209" s="8">
        <v>0</v>
      </c>
      <c r="G209" s="8">
        <v>0</v>
      </c>
      <c r="H209" s="10"/>
    </row>
    <row r="210" spans="1:8">
      <c r="A210" s="11" t="s">
        <v>189</v>
      </c>
      <c r="B210" s="4">
        <v>0</v>
      </c>
      <c r="C210" s="4">
        <v>0</v>
      </c>
      <c r="D210" s="4">
        <v>0</v>
      </c>
      <c r="E210" s="14">
        <v>0</v>
      </c>
      <c r="F210" s="8">
        <v>0</v>
      </c>
      <c r="G210" s="8">
        <v>0</v>
      </c>
      <c r="H210" s="10"/>
    </row>
    <row r="211" spans="1:8">
      <c r="A211" s="11" t="s">
        <v>190</v>
      </c>
      <c r="B211" s="4">
        <v>0</v>
      </c>
      <c r="C211" s="4">
        <v>0</v>
      </c>
      <c r="D211" s="4">
        <v>0</v>
      </c>
      <c r="E211" s="14">
        <v>0</v>
      </c>
      <c r="F211" s="8">
        <v>0</v>
      </c>
      <c r="G211" s="8">
        <v>0</v>
      </c>
      <c r="H211" s="10"/>
    </row>
    <row r="212" spans="1:8">
      <c r="A212" s="17" t="s">
        <v>1648</v>
      </c>
      <c r="B212" s="18">
        <v>0</v>
      </c>
      <c r="C212" s="18">
        <v>0</v>
      </c>
      <c r="D212" s="18">
        <v>0</v>
      </c>
      <c r="E212" s="18">
        <v>0</v>
      </c>
      <c r="F212" s="18">
        <v>0</v>
      </c>
      <c r="G212" s="18">
        <v>0</v>
      </c>
      <c r="H212" s="10"/>
    </row>
    <row r="213" spans="1:8">
      <c r="A213" s="11" t="s">
        <v>1645</v>
      </c>
      <c r="B213" s="4">
        <v>602.29748729184382</v>
      </c>
      <c r="C213" s="8">
        <v>0</v>
      </c>
      <c r="D213" s="8">
        <v>0</v>
      </c>
      <c r="E213" s="14">
        <v>130</v>
      </c>
      <c r="F213" s="8">
        <v>0</v>
      </c>
      <c r="G213" s="8">
        <v>0</v>
      </c>
      <c r="H213" s="10"/>
    </row>
    <row r="214" spans="1:8">
      <c r="A214" s="11" t="s">
        <v>1642</v>
      </c>
      <c r="B214" s="4">
        <v>0</v>
      </c>
      <c r="C214" s="8">
        <v>0</v>
      </c>
      <c r="D214" s="8">
        <v>0</v>
      </c>
      <c r="E214" s="14">
        <v>0</v>
      </c>
      <c r="F214" s="8">
        <v>0</v>
      </c>
      <c r="G214" s="8">
        <v>0</v>
      </c>
      <c r="H214" s="10"/>
    </row>
    <row r="215" spans="1:8">
      <c r="A215" s="11" t="s">
        <v>1639</v>
      </c>
      <c r="B215" s="4">
        <v>0</v>
      </c>
      <c r="C215" s="8">
        <v>0</v>
      </c>
      <c r="D215" s="8">
        <v>0</v>
      </c>
      <c r="E215" s="14">
        <v>0</v>
      </c>
      <c r="F215" s="8">
        <v>0</v>
      </c>
      <c r="G215" s="8">
        <v>0</v>
      </c>
      <c r="H215" s="10"/>
    </row>
    <row r="216" spans="1:8">
      <c r="A216" s="17" t="s">
        <v>191</v>
      </c>
      <c r="B216" s="18">
        <v>0</v>
      </c>
      <c r="C216" s="18">
        <v>0</v>
      </c>
      <c r="D216" s="18">
        <v>0</v>
      </c>
      <c r="E216" s="18">
        <v>0</v>
      </c>
      <c r="F216" s="18">
        <v>0</v>
      </c>
      <c r="G216" s="18">
        <v>0</v>
      </c>
      <c r="H216" s="10"/>
    </row>
    <row r="217" spans="1:8">
      <c r="A217" s="11" t="s">
        <v>100</v>
      </c>
      <c r="B217" s="4">
        <v>0</v>
      </c>
      <c r="C217" s="8">
        <v>0</v>
      </c>
      <c r="D217" s="8">
        <v>0</v>
      </c>
      <c r="E217" s="14">
        <v>0</v>
      </c>
      <c r="F217" s="8">
        <v>0</v>
      </c>
      <c r="G217" s="8">
        <v>0</v>
      </c>
      <c r="H217" s="10"/>
    </row>
    <row r="218" spans="1:8">
      <c r="A218" s="11" t="s">
        <v>192</v>
      </c>
      <c r="B218" s="4">
        <v>0</v>
      </c>
      <c r="C218" s="8">
        <v>0</v>
      </c>
      <c r="D218" s="8">
        <v>0</v>
      </c>
      <c r="E218" s="14">
        <v>0</v>
      </c>
      <c r="F218" s="8">
        <v>0</v>
      </c>
      <c r="G218" s="8">
        <v>0</v>
      </c>
      <c r="H218" s="10"/>
    </row>
    <row r="219" spans="1:8">
      <c r="A219" s="17" t="s">
        <v>193</v>
      </c>
      <c r="B219" s="18">
        <v>0</v>
      </c>
      <c r="C219" s="18">
        <v>0</v>
      </c>
      <c r="D219" s="18">
        <v>0</v>
      </c>
      <c r="E219" s="18">
        <v>0</v>
      </c>
      <c r="F219" s="18">
        <v>0</v>
      </c>
      <c r="G219" s="18">
        <v>0</v>
      </c>
      <c r="H219" s="10"/>
    </row>
    <row r="220" spans="1:8">
      <c r="A220" s="11" t="s">
        <v>101</v>
      </c>
      <c r="B220" s="4">
        <v>9529.9504738031992</v>
      </c>
      <c r="C220" s="8">
        <v>0</v>
      </c>
      <c r="D220" s="8">
        <v>0</v>
      </c>
      <c r="E220" s="14">
        <v>146</v>
      </c>
      <c r="F220" s="8">
        <v>0</v>
      </c>
      <c r="G220" s="4">
        <v>338</v>
      </c>
      <c r="H220" s="10"/>
    </row>
    <row r="221" spans="1:8">
      <c r="A221" s="11" t="s">
        <v>194</v>
      </c>
      <c r="B221" s="4">
        <v>0</v>
      </c>
      <c r="C221" s="8">
        <v>0</v>
      </c>
      <c r="D221" s="8">
        <v>0</v>
      </c>
      <c r="E221" s="14">
        <v>0</v>
      </c>
      <c r="F221" s="8">
        <v>0</v>
      </c>
      <c r="G221" s="4">
        <v>0</v>
      </c>
      <c r="H221" s="10"/>
    </row>
    <row r="222" spans="1:8">
      <c r="A222" s="11" t="s">
        <v>195</v>
      </c>
      <c r="B222" s="4">
        <v>0</v>
      </c>
      <c r="C222" s="8">
        <v>0</v>
      </c>
      <c r="D222" s="8">
        <v>0</v>
      </c>
      <c r="E222" s="14">
        <v>0</v>
      </c>
      <c r="F222" s="8">
        <v>0</v>
      </c>
      <c r="G222" s="4">
        <v>0</v>
      </c>
      <c r="H222" s="10"/>
    </row>
    <row r="223" spans="1:8">
      <c r="A223" s="17" t="s">
        <v>196</v>
      </c>
      <c r="B223" s="18">
        <v>0</v>
      </c>
      <c r="C223" s="18">
        <v>0</v>
      </c>
      <c r="D223" s="18">
        <v>0</v>
      </c>
      <c r="E223" s="18">
        <v>0</v>
      </c>
      <c r="F223" s="18">
        <v>0</v>
      </c>
      <c r="G223" s="18">
        <v>0</v>
      </c>
      <c r="H223" s="10"/>
    </row>
    <row r="224" spans="1:8">
      <c r="A224" s="11" t="s">
        <v>102</v>
      </c>
      <c r="B224" s="4">
        <v>130.2286029240839</v>
      </c>
      <c r="C224" s="4">
        <v>867.1493329537202</v>
      </c>
      <c r="D224" s="4">
        <v>897.89995991983972</v>
      </c>
      <c r="E224" s="14">
        <v>11</v>
      </c>
      <c r="F224" s="8">
        <v>0</v>
      </c>
      <c r="G224" s="4">
        <v>31</v>
      </c>
      <c r="H224" s="10"/>
    </row>
    <row r="225" spans="1:8">
      <c r="A225" s="11" t="s">
        <v>197</v>
      </c>
      <c r="B225" s="4">
        <v>0</v>
      </c>
      <c r="C225" s="4">
        <v>0</v>
      </c>
      <c r="D225" s="4">
        <v>0</v>
      </c>
      <c r="E225" s="14">
        <v>0</v>
      </c>
      <c r="F225" s="8">
        <v>0</v>
      </c>
      <c r="G225" s="4">
        <v>0</v>
      </c>
      <c r="H225" s="10"/>
    </row>
    <row r="226" spans="1:8">
      <c r="A226" s="11" t="s">
        <v>198</v>
      </c>
      <c r="B226" s="4">
        <v>0</v>
      </c>
      <c r="C226" s="4">
        <v>0</v>
      </c>
      <c r="D226" s="4">
        <v>0</v>
      </c>
      <c r="E226" s="14">
        <v>0</v>
      </c>
      <c r="F226" s="8">
        <v>0</v>
      </c>
      <c r="G226" s="4">
        <v>0</v>
      </c>
      <c r="H226" s="10"/>
    </row>
    <row r="227" spans="1:8">
      <c r="A227" s="17" t="s">
        <v>199</v>
      </c>
      <c r="B227" s="18">
        <v>0</v>
      </c>
      <c r="C227" s="18">
        <v>0</v>
      </c>
      <c r="D227" s="18">
        <v>0</v>
      </c>
      <c r="E227" s="18">
        <v>0</v>
      </c>
      <c r="F227" s="18">
        <v>0</v>
      </c>
      <c r="G227" s="18">
        <v>0</v>
      </c>
      <c r="H227" s="10"/>
    </row>
    <row r="228" spans="1:8">
      <c r="A228" s="11" t="s">
        <v>103</v>
      </c>
      <c r="B228" s="4">
        <v>37.670999999999999</v>
      </c>
      <c r="C228" s="8">
        <v>0</v>
      </c>
      <c r="D228" s="8">
        <v>0</v>
      </c>
      <c r="E228" s="14">
        <v>1</v>
      </c>
      <c r="F228" s="8">
        <v>0</v>
      </c>
      <c r="G228" s="4">
        <v>0</v>
      </c>
      <c r="H228" s="10"/>
    </row>
    <row r="229" spans="1:8">
      <c r="A229" s="11" t="s">
        <v>200</v>
      </c>
      <c r="B229" s="4">
        <v>0</v>
      </c>
      <c r="C229" s="8">
        <v>0</v>
      </c>
      <c r="D229" s="8">
        <v>0</v>
      </c>
      <c r="E229" s="14">
        <v>0</v>
      </c>
      <c r="F229" s="8">
        <v>0</v>
      </c>
      <c r="G229" s="4">
        <v>0</v>
      </c>
      <c r="H229" s="10"/>
    </row>
    <row r="230" spans="1:8">
      <c r="A230" s="17" t="s">
        <v>201</v>
      </c>
      <c r="B230" s="18">
        <v>0</v>
      </c>
      <c r="C230" s="18">
        <v>0</v>
      </c>
      <c r="D230" s="18">
        <v>0</v>
      </c>
      <c r="E230" s="18">
        <v>0</v>
      </c>
      <c r="F230" s="18">
        <v>0</v>
      </c>
      <c r="G230" s="18">
        <v>0</v>
      </c>
      <c r="H230" s="10"/>
    </row>
    <row r="231" spans="1:8">
      <c r="A231" s="11" t="s">
        <v>104</v>
      </c>
      <c r="B231" s="4">
        <v>0</v>
      </c>
      <c r="C231" s="4">
        <v>0</v>
      </c>
      <c r="D231" s="4">
        <v>0</v>
      </c>
      <c r="E231" s="14">
        <v>0</v>
      </c>
      <c r="F231" s="8">
        <v>0</v>
      </c>
      <c r="G231" s="4">
        <v>0</v>
      </c>
      <c r="H231" s="10"/>
    </row>
    <row r="232" spans="1:8">
      <c r="A232" s="11" t="s">
        <v>202</v>
      </c>
      <c r="B232" s="4">
        <v>0</v>
      </c>
      <c r="C232" s="4">
        <v>0</v>
      </c>
      <c r="D232" s="4">
        <v>0</v>
      </c>
      <c r="E232" s="14">
        <v>0</v>
      </c>
      <c r="F232" s="8">
        <v>0</v>
      </c>
      <c r="G232" s="4">
        <v>0</v>
      </c>
      <c r="H232" s="10"/>
    </row>
    <row r="233" spans="1:8">
      <c r="A233" s="17" t="s">
        <v>203</v>
      </c>
      <c r="B233" s="18">
        <v>0</v>
      </c>
      <c r="C233" s="18">
        <v>0</v>
      </c>
      <c r="D233" s="18">
        <v>0</v>
      </c>
      <c r="E233" s="18">
        <v>0</v>
      </c>
      <c r="F233" s="18">
        <v>0</v>
      </c>
      <c r="G233" s="18">
        <v>0</v>
      </c>
      <c r="H233" s="10"/>
    </row>
    <row r="234" spans="1:8">
      <c r="A234" s="11" t="s">
        <v>112</v>
      </c>
      <c r="B234" s="4">
        <v>44577.689286771631</v>
      </c>
      <c r="C234" s="8">
        <v>0</v>
      </c>
      <c r="D234" s="8">
        <v>0</v>
      </c>
      <c r="E234" s="14">
        <v>27</v>
      </c>
      <c r="F234" s="8">
        <v>0</v>
      </c>
      <c r="G234" s="4">
        <v>859</v>
      </c>
      <c r="H234" s="10"/>
    </row>
    <row r="235" spans="1:8">
      <c r="A235" s="11" t="s">
        <v>204</v>
      </c>
      <c r="B235" s="4">
        <v>0</v>
      </c>
      <c r="C235" s="8">
        <v>0</v>
      </c>
      <c r="D235" s="8">
        <v>0</v>
      </c>
      <c r="E235" s="14">
        <v>0</v>
      </c>
      <c r="F235" s="8">
        <v>0</v>
      </c>
      <c r="G235" s="4">
        <v>0</v>
      </c>
      <c r="H235" s="10"/>
    </row>
    <row r="236" spans="1:8">
      <c r="A236" s="17" t="s">
        <v>205</v>
      </c>
      <c r="B236" s="18">
        <v>0</v>
      </c>
      <c r="C236" s="18">
        <v>0</v>
      </c>
      <c r="D236" s="18">
        <v>0</v>
      </c>
      <c r="E236" s="18">
        <v>0</v>
      </c>
      <c r="F236" s="18">
        <v>0</v>
      </c>
      <c r="G236" s="18">
        <v>0</v>
      </c>
      <c r="H236" s="10"/>
    </row>
    <row r="237" spans="1:8">
      <c r="A237" s="11" t="s">
        <v>113</v>
      </c>
      <c r="B237" s="4">
        <v>9070.7235647319703</v>
      </c>
      <c r="C237" s="4">
        <v>44174.558442663067</v>
      </c>
      <c r="D237" s="4">
        <v>48120.15616862481</v>
      </c>
      <c r="E237" s="14">
        <v>27</v>
      </c>
      <c r="F237" s="8">
        <v>0</v>
      </c>
      <c r="G237" s="4">
        <v>742</v>
      </c>
      <c r="H237" s="10"/>
    </row>
    <row r="238" spans="1:8">
      <c r="A238" s="11" t="s">
        <v>206</v>
      </c>
      <c r="B238" s="4">
        <v>0</v>
      </c>
      <c r="C238" s="4">
        <v>0</v>
      </c>
      <c r="D238" s="4">
        <v>0</v>
      </c>
      <c r="E238" s="14">
        <v>0</v>
      </c>
      <c r="F238" s="8">
        <v>0</v>
      </c>
      <c r="G238" s="4">
        <v>0</v>
      </c>
      <c r="H238" s="10"/>
    </row>
    <row r="240" spans="1:8" ht="21" customHeight="1">
      <c r="A240" s="1" t="s">
        <v>207</v>
      </c>
    </row>
    <row r="241" spans="1:9">
      <c r="A241" s="2" t="s">
        <v>262</v>
      </c>
    </row>
    <row r="242" spans="1:9">
      <c r="A242" t="s">
        <v>137</v>
      </c>
    </row>
    <row r="243" spans="1:9" ht="30">
      <c r="B243" s="3" t="s">
        <v>208</v>
      </c>
    </row>
    <row r="244" spans="1:9">
      <c r="A244" s="11" t="s">
        <v>209</v>
      </c>
      <c r="B244" s="14">
        <v>11182182.267299153</v>
      </c>
      <c r="C244" s="10" t="s">
        <v>262</v>
      </c>
    </row>
    <row r="246" spans="1:9" ht="21" customHeight="1">
      <c r="A246" s="1" t="s">
        <v>210</v>
      </c>
    </row>
    <row r="247" spans="1:9">
      <c r="A247" t="s">
        <v>262</v>
      </c>
    </row>
    <row r="248" spans="1:9">
      <c r="B248" s="3" t="s">
        <v>211</v>
      </c>
      <c r="C248" s="3" t="s">
        <v>212</v>
      </c>
      <c r="D248" s="3" t="s">
        <v>213</v>
      </c>
      <c r="E248" s="3" t="s">
        <v>214</v>
      </c>
    </row>
    <row r="249" spans="1:9">
      <c r="A249" s="11" t="s">
        <v>215</v>
      </c>
      <c r="B249" s="14">
        <v>20679081.318215538</v>
      </c>
      <c r="C249" s="14">
        <v>67718028.910105407</v>
      </c>
      <c r="D249" s="16">
        <v>0.6</v>
      </c>
      <c r="E249" s="14">
        <v>18298851.800878648</v>
      </c>
      <c r="F249" s="10" t="s">
        <v>262</v>
      </c>
    </row>
    <row r="251" spans="1:9" ht="21" customHeight="1">
      <c r="A251" s="1" t="s">
        <v>216</v>
      </c>
    </row>
    <row r="252" spans="1:9">
      <c r="A252" s="2"/>
    </row>
    <row r="253" spans="1:9">
      <c r="A253" s="2" t="s">
        <v>217</v>
      </c>
    </row>
    <row r="254" spans="1:9">
      <c r="A254" s="2" t="s">
        <v>218</v>
      </c>
    </row>
    <row r="255" spans="1:9">
      <c r="A255" t="s">
        <v>219</v>
      </c>
    </row>
    <row r="256" spans="1:9" ht="30">
      <c r="B256" s="3" t="s">
        <v>220</v>
      </c>
      <c r="C256" s="3" t="s">
        <v>221</v>
      </c>
      <c r="D256" s="3" t="s">
        <v>222</v>
      </c>
      <c r="E256" s="3" t="s">
        <v>223</v>
      </c>
      <c r="F256" s="3" t="s">
        <v>224</v>
      </c>
      <c r="G256" s="3" t="s">
        <v>225</v>
      </c>
      <c r="H256" s="3" t="s">
        <v>226</v>
      </c>
      <c r="I256" s="3" t="s">
        <v>227</v>
      </c>
    </row>
    <row r="257" spans="1:10">
      <c r="A257" s="11" t="s">
        <v>228</v>
      </c>
      <c r="B257" s="16">
        <v>0</v>
      </c>
      <c r="C257" s="16">
        <v>0</v>
      </c>
      <c r="D257" s="16">
        <v>0</v>
      </c>
      <c r="E257" s="16">
        <v>0.75</v>
      </c>
      <c r="F257" s="16">
        <v>0.75</v>
      </c>
      <c r="G257" s="16">
        <v>0.75</v>
      </c>
      <c r="H257" s="16">
        <v>0.95</v>
      </c>
      <c r="I257" s="16">
        <v>0.95</v>
      </c>
      <c r="J257" s="10" t="s">
        <v>262</v>
      </c>
    </row>
    <row r="258" spans="1:10">
      <c r="A258" s="11" t="s">
        <v>229</v>
      </c>
      <c r="B258" s="16">
        <v>0</v>
      </c>
      <c r="C258" s="16">
        <v>0</v>
      </c>
      <c r="D258" s="16">
        <v>0</v>
      </c>
      <c r="E258" s="16">
        <v>0.75</v>
      </c>
      <c r="F258" s="16">
        <v>0.75</v>
      </c>
      <c r="G258" s="16">
        <v>0.75</v>
      </c>
      <c r="H258" s="16">
        <v>0.95</v>
      </c>
      <c r="I258" s="8"/>
      <c r="J258" s="10" t="s">
        <v>262</v>
      </c>
    </row>
    <row r="259" spans="1:10">
      <c r="A259" s="11" t="s">
        <v>230</v>
      </c>
      <c r="B259" s="16">
        <v>0</v>
      </c>
      <c r="C259" s="16">
        <v>0.36</v>
      </c>
      <c r="D259" s="16">
        <v>0.36</v>
      </c>
      <c r="E259" s="16">
        <v>0.91</v>
      </c>
      <c r="F259" s="16">
        <v>0.91</v>
      </c>
      <c r="G259" s="16">
        <v>0.91</v>
      </c>
      <c r="H259" s="8"/>
      <c r="I259" s="8"/>
      <c r="J259" s="10" t="s">
        <v>262</v>
      </c>
    </row>
    <row r="260" spans="1:10">
      <c r="A260" s="11" t="s">
        <v>231</v>
      </c>
      <c r="B260" s="16">
        <v>0</v>
      </c>
      <c r="C260" s="16">
        <v>0.36</v>
      </c>
      <c r="D260" s="16">
        <v>0.36</v>
      </c>
      <c r="E260" s="16">
        <v>0.91</v>
      </c>
      <c r="F260" s="8"/>
      <c r="G260" s="8"/>
      <c r="H260" s="8"/>
      <c r="I260" s="8"/>
      <c r="J260" s="10" t="s">
        <v>262</v>
      </c>
    </row>
    <row r="262" spans="1:10" ht="21" customHeight="1">
      <c r="A262" s="1" t="s">
        <v>232</v>
      </c>
    </row>
    <row r="264" spans="1:10">
      <c r="B264" s="3" t="s">
        <v>233</v>
      </c>
      <c r="C264" s="3" t="s">
        <v>234</v>
      </c>
      <c r="D264" s="3" t="s">
        <v>235</v>
      </c>
    </row>
    <row r="265" spans="1:10">
      <c r="A265" s="11" t="s">
        <v>92</v>
      </c>
      <c r="B265" s="16">
        <v>0.11298330820969384</v>
      </c>
      <c r="C265" s="16">
        <v>0.50223801835264836</v>
      </c>
      <c r="D265" s="16">
        <v>0.38477867343765787</v>
      </c>
      <c r="E265" s="10" t="s">
        <v>262</v>
      </c>
    </row>
    <row r="266" spans="1:10">
      <c r="A266" s="11" t="s">
        <v>93</v>
      </c>
      <c r="B266" s="16">
        <v>0.13327131053018113</v>
      </c>
      <c r="C266" s="16">
        <v>0.57760793092211993</v>
      </c>
      <c r="D266" s="16">
        <v>0.28912075854769903</v>
      </c>
      <c r="E266" s="10" t="s">
        <v>262</v>
      </c>
    </row>
    <row r="267" spans="1:10">
      <c r="A267" s="11" t="s">
        <v>129</v>
      </c>
      <c r="B267" s="16">
        <v>2.8375924531958633E-7</v>
      </c>
      <c r="C267" s="16">
        <v>0.16926612955281603</v>
      </c>
      <c r="D267" s="16">
        <v>0.83073358668793862</v>
      </c>
      <c r="E267" s="10"/>
    </row>
    <row r="268" spans="1:10">
      <c r="A268" s="11" t="s">
        <v>94</v>
      </c>
      <c r="B268" s="16">
        <v>7.1203946559325326E-2</v>
      </c>
      <c r="C268" s="16">
        <v>0.58452126520102876</v>
      </c>
      <c r="D268" s="16">
        <v>0.3442747882396458</v>
      </c>
      <c r="E268" s="10"/>
    </row>
    <row r="269" spans="1:10">
      <c r="A269" s="11" t="s">
        <v>95</v>
      </c>
      <c r="B269" s="16">
        <v>9.7838540209257197E-2</v>
      </c>
      <c r="C269" s="16">
        <v>0.65520507591280774</v>
      </c>
      <c r="D269" s="16">
        <v>0.24695638387793503</v>
      </c>
      <c r="E269" s="10" t="s">
        <v>262</v>
      </c>
    </row>
    <row r="270" spans="1:10">
      <c r="A270" s="11" t="s">
        <v>130</v>
      </c>
      <c r="B270" s="16">
        <v>8.9699691483682498E-5</v>
      </c>
      <c r="C270" s="16">
        <v>0.17771579837582263</v>
      </c>
      <c r="D270" s="16">
        <v>0.82219450193269361</v>
      </c>
      <c r="E270" s="10" t="s">
        <v>262</v>
      </c>
    </row>
    <row r="271" spans="1:10">
      <c r="A271" s="11" t="s">
        <v>96</v>
      </c>
      <c r="B271" s="16">
        <v>0.10118214285683957</v>
      </c>
      <c r="C271" s="16">
        <v>0.66091965296388588</v>
      </c>
      <c r="D271" s="16">
        <v>0.23789820417927454</v>
      </c>
      <c r="E271" s="10" t="s">
        <v>262</v>
      </c>
    </row>
    <row r="272" spans="1:10">
      <c r="A272" s="11" t="s">
        <v>97</v>
      </c>
      <c r="B272" s="16">
        <v>9.9173095445870232E-2</v>
      </c>
      <c r="C272" s="16">
        <v>0.66646341204630843</v>
      </c>
      <c r="D272" s="16">
        <v>0.23436349250782129</v>
      </c>
      <c r="E272" s="10" t="s">
        <v>262</v>
      </c>
    </row>
    <row r="273" spans="1:5">
      <c r="A273" s="11" t="s">
        <v>110</v>
      </c>
      <c r="B273" s="16">
        <v>9.9001646523263931E-2</v>
      </c>
      <c r="C273" s="16">
        <v>0.69464097956994497</v>
      </c>
      <c r="D273" s="16">
        <v>0.2063573739067911</v>
      </c>
      <c r="E273" s="10" t="s">
        <v>262</v>
      </c>
    </row>
    <row r="275" spans="1:5" ht="21" customHeight="1">
      <c r="A275" s="1" t="s">
        <v>236</v>
      </c>
    </row>
    <row r="277" spans="1:5">
      <c r="B277" s="3" t="s">
        <v>233</v>
      </c>
      <c r="C277" s="3" t="s">
        <v>234</v>
      </c>
      <c r="D277" s="3" t="s">
        <v>235</v>
      </c>
    </row>
    <row r="278" spans="1:5">
      <c r="A278" s="11" t="s">
        <v>93</v>
      </c>
      <c r="B278" s="16">
        <v>0</v>
      </c>
      <c r="C278" s="16">
        <v>3.4830602664601619E-2</v>
      </c>
      <c r="D278" s="16">
        <v>0.96516939733539842</v>
      </c>
      <c r="E278" s="10" t="s">
        <v>262</v>
      </c>
    </row>
    <row r="279" spans="1:5">
      <c r="A279" s="11" t="s">
        <v>95</v>
      </c>
      <c r="B279" s="16">
        <v>1.6556870442601376E-8</v>
      </c>
      <c r="C279" s="16">
        <v>5.869529563813064E-2</v>
      </c>
      <c r="D279" s="16">
        <v>0.94130468780499887</v>
      </c>
      <c r="E279" s="10" t="s">
        <v>262</v>
      </c>
    </row>
    <row r="280" spans="1:5">
      <c r="A280" s="11" t="s">
        <v>96</v>
      </c>
      <c r="B280" s="16">
        <v>0</v>
      </c>
      <c r="C280" s="16">
        <v>5.1301871668323713E-3</v>
      </c>
      <c r="D280" s="16">
        <v>0.99486981283316778</v>
      </c>
      <c r="E280" s="10" t="s">
        <v>262</v>
      </c>
    </row>
    <row r="281" spans="1:5">
      <c r="A281" s="11" t="s">
        <v>97</v>
      </c>
      <c r="B281" s="16">
        <v>0</v>
      </c>
      <c r="C281" s="16">
        <v>3.213521583597959E-3</v>
      </c>
      <c r="D281" s="16">
        <v>0.99678647841640211</v>
      </c>
      <c r="E281" s="10" t="s">
        <v>262</v>
      </c>
    </row>
    <row r="282" spans="1:5">
      <c r="A282" s="11" t="s">
        <v>110</v>
      </c>
      <c r="B282" s="16">
        <v>0</v>
      </c>
      <c r="C282" s="16">
        <v>4.2256521599561099E-3</v>
      </c>
      <c r="D282" s="16">
        <v>0.99577434784004382</v>
      </c>
      <c r="E282" s="10" t="s">
        <v>262</v>
      </c>
    </row>
    <row r="284" spans="1:5" ht="21" customHeight="1">
      <c r="A284" s="1" t="s">
        <v>237</v>
      </c>
    </row>
    <row r="286" spans="1:5">
      <c r="B286" s="3" t="s">
        <v>233</v>
      </c>
      <c r="C286" s="3" t="s">
        <v>234</v>
      </c>
      <c r="D286" s="3" t="s">
        <v>235</v>
      </c>
      <c r="E286" t="s">
        <v>262</v>
      </c>
    </row>
    <row r="287" spans="1:5">
      <c r="A287" s="11" t="s">
        <v>131</v>
      </c>
      <c r="B287" s="16">
        <v>2.2070015220700151E-2</v>
      </c>
      <c r="C287" s="16">
        <v>0.48085996955859972</v>
      </c>
      <c r="D287" s="16">
        <v>0.49707001522070016</v>
      </c>
      <c r="E287" s="10" t="s">
        <v>262</v>
      </c>
    </row>
    <row r="288" spans="1:5">
      <c r="A288" s="11" t="s">
        <v>132</v>
      </c>
      <c r="B288" s="16">
        <v>4.3296502490334364E-2</v>
      </c>
      <c r="C288" s="16">
        <v>0.19352712515009221</v>
      </c>
      <c r="D288" s="16">
        <v>0.76317637235957336</v>
      </c>
      <c r="E288" s="10" t="s">
        <v>262</v>
      </c>
    </row>
    <row r="289" spans="1:5">
      <c r="A289" s="11" t="s">
        <v>133</v>
      </c>
      <c r="B289" s="16">
        <v>7.5341202673786759E-2</v>
      </c>
      <c r="C289" s="16">
        <v>0.32694556247045986</v>
      </c>
      <c r="D289" s="16">
        <v>0.59771323485575345</v>
      </c>
      <c r="E289" s="10" t="s">
        <v>262</v>
      </c>
    </row>
    <row r="290" spans="1:5">
      <c r="A290" s="11" t="s">
        <v>134</v>
      </c>
      <c r="B290" s="16">
        <v>3.3590963197314191E-3</v>
      </c>
      <c r="C290" s="16">
        <v>0.7385027664723034</v>
      </c>
      <c r="D290" s="16">
        <v>0.25813813720796519</v>
      </c>
      <c r="E290" s="10" t="s">
        <v>262</v>
      </c>
    </row>
    <row r="292" spans="1:5" ht="21" customHeight="1">
      <c r="A292" s="1" t="s">
        <v>240</v>
      </c>
    </row>
    <row r="293" spans="1:5">
      <c r="A293" s="2" t="s">
        <v>241</v>
      </c>
    </row>
    <row r="294" spans="1:5">
      <c r="A294" s="2" t="s">
        <v>242</v>
      </c>
    </row>
    <row r="296" spans="1:5">
      <c r="B296" s="3" t="s">
        <v>233</v>
      </c>
      <c r="C296" s="3" t="s">
        <v>234</v>
      </c>
      <c r="D296" s="3" t="s">
        <v>235</v>
      </c>
    </row>
    <row r="297" spans="1:5">
      <c r="A297" s="11" t="s">
        <v>243</v>
      </c>
      <c r="B297" s="19">
        <v>190</v>
      </c>
      <c r="C297" s="19">
        <v>4233</v>
      </c>
      <c r="D297" s="19">
        <v>4361</v>
      </c>
      <c r="E297" s="10" t="s">
        <v>262</v>
      </c>
    </row>
    <row r="299" spans="1:5" ht="21" customHeight="1">
      <c r="A299" s="1" t="s">
        <v>244</v>
      </c>
    </row>
    <row r="300" spans="1:5">
      <c r="A300" s="2"/>
    </row>
    <row r="301" spans="1:5">
      <c r="A301" s="2" t="s">
        <v>241</v>
      </c>
    </row>
    <row r="302" spans="1:5">
      <c r="A302" t="s">
        <v>242</v>
      </c>
    </row>
    <row r="303" spans="1:5">
      <c r="B303" s="3" t="s">
        <v>233</v>
      </c>
      <c r="C303" s="3" t="s">
        <v>234</v>
      </c>
      <c r="D303" s="3" t="s">
        <v>235</v>
      </c>
    </row>
    <row r="304" spans="1:5">
      <c r="A304" s="11" t="s">
        <v>243</v>
      </c>
      <c r="B304" s="19">
        <v>655</v>
      </c>
      <c r="C304" s="19">
        <v>3768</v>
      </c>
      <c r="D304" s="19">
        <v>4361</v>
      </c>
      <c r="E304" s="10" t="s">
        <v>262</v>
      </c>
    </row>
    <row r="306" spans="1:6" ht="21" customHeight="1">
      <c r="A306" s="1" t="s">
        <v>245</v>
      </c>
    </row>
    <row r="307" spans="1:6">
      <c r="A307" s="2"/>
    </row>
    <row r="309" spans="1:6">
      <c r="A309" t="s">
        <v>246</v>
      </c>
      <c r="B309" s="20"/>
      <c r="C309" s="20"/>
      <c r="D309" s="20"/>
    </row>
    <row r="310" spans="1:6">
      <c r="B310" s="3" t="s">
        <v>233</v>
      </c>
      <c r="C310" s="3" t="s">
        <v>234</v>
      </c>
      <c r="D310" s="3" t="s">
        <v>235</v>
      </c>
      <c r="E310" s="3" t="s">
        <v>238</v>
      </c>
    </row>
    <row r="311" spans="1:6">
      <c r="A311" s="11" t="s">
        <v>60</v>
      </c>
      <c r="B311" s="16">
        <v>0.62879119434947672</v>
      </c>
      <c r="C311" s="16">
        <v>0.36482447333707807</v>
      </c>
      <c r="D311" s="16">
        <v>6.3843323134452623E-3</v>
      </c>
      <c r="E311" s="16">
        <v>0.39570245808243315</v>
      </c>
      <c r="F311" s="10" t="s">
        <v>262</v>
      </c>
    </row>
    <row r="312" spans="1:6">
      <c r="A312" s="11" t="s">
        <v>61</v>
      </c>
      <c r="B312" s="16">
        <v>0.62174924523091402</v>
      </c>
      <c r="C312" s="16">
        <v>0.3027754828809584</v>
      </c>
      <c r="D312" s="16">
        <v>7.547527188812754E-2</v>
      </c>
      <c r="E312" s="16">
        <v>0.56604499762027283</v>
      </c>
      <c r="F312" s="10" t="s">
        <v>262</v>
      </c>
    </row>
    <row r="313" spans="1:6">
      <c r="A313" s="11" t="s">
        <v>62</v>
      </c>
      <c r="B313" s="16">
        <v>0.62174924523091402</v>
      </c>
      <c r="C313" s="16">
        <v>0.3027754828809584</v>
      </c>
      <c r="D313" s="16">
        <v>7.547527188812754E-2</v>
      </c>
      <c r="E313" s="16">
        <v>0.56604499762027283</v>
      </c>
      <c r="F313" s="10" t="s">
        <v>262</v>
      </c>
    </row>
    <row r="314" spans="1:6">
      <c r="A314" s="11" t="s">
        <v>63</v>
      </c>
      <c r="B314" s="16">
        <v>0.57235676252107026</v>
      </c>
      <c r="C314" s="16">
        <v>0.37197918727209278</v>
      </c>
      <c r="D314" s="16">
        <v>5.5664050206836936E-2</v>
      </c>
      <c r="E314" s="16">
        <v>0.52685467635274164</v>
      </c>
      <c r="F314" s="10" t="s">
        <v>262</v>
      </c>
    </row>
    <row r="315" spans="1:6">
      <c r="A315" s="11" t="s">
        <v>64</v>
      </c>
      <c r="B315" s="16">
        <v>0.57235676252107026</v>
      </c>
      <c r="C315" s="16">
        <v>0.37197918727209278</v>
      </c>
      <c r="D315" s="16">
        <v>5.5664050206836936E-2</v>
      </c>
      <c r="E315" s="16">
        <v>0.52685467635274164</v>
      </c>
      <c r="F315" s="10" t="s">
        <v>262</v>
      </c>
    </row>
    <row r="316" spans="1:6">
      <c r="A316" s="11" t="s">
        <v>69</v>
      </c>
      <c r="B316" s="16">
        <v>0.62174924523091402</v>
      </c>
      <c r="C316" s="16">
        <v>0.3027754828809584</v>
      </c>
      <c r="D316" s="16">
        <v>7.547527188812754E-2</v>
      </c>
      <c r="E316" s="16">
        <v>0.56604499762027283</v>
      </c>
      <c r="F316" s="10" t="s">
        <v>262</v>
      </c>
    </row>
    <row r="317" spans="1:6">
      <c r="A317" s="11" t="s">
        <v>65</v>
      </c>
      <c r="B317" s="16">
        <v>0.57235676252107026</v>
      </c>
      <c r="C317" s="16">
        <v>0.37197918727209278</v>
      </c>
      <c r="D317" s="16">
        <v>5.5664050206836936E-2</v>
      </c>
      <c r="E317" s="16">
        <v>0.52685467635274164</v>
      </c>
      <c r="F317" s="10" t="s">
        <v>262</v>
      </c>
    </row>
    <row r="318" spans="1:6">
      <c r="A318" s="11" t="s">
        <v>66</v>
      </c>
      <c r="B318" s="16">
        <v>0.57235676252107026</v>
      </c>
      <c r="C318" s="16">
        <v>0.37197918727209278</v>
      </c>
      <c r="D318" s="16">
        <v>5.5664050206836936E-2</v>
      </c>
      <c r="E318" s="16">
        <v>0.52685467635274164</v>
      </c>
      <c r="F318" s="10" t="s">
        <v>262</v>
      </c>
    </row>
    <row r="319" spans="1:6">
      <c r="A319" s="11" t="s">
        <v>67</v>
      </c>
      <c r="B319" s="16">
        <v>0.57235676252107026</v>
      </c>
      <c r="C319" s="16">
        <v>0.37197918727209278</v>
      </c>
      <c r="D319" s="16">
        <v>5.5664050206836936E-2</v>
      </c>
      <c r="E319" s="16">
        <v>0.52685467635274164</v>
      </c>
      <c r="F319" s="10" t="s">
        <v>262</v>
      </c>
    </row>
    <row r="321" spans="1:11" ht="21" customHeight="1">
      <c r="A321" s="1" t="s">
        <v>1634</v>
      </c>
    </row>
    <row r="322" spans="1:11">
      <c r="A322" s="2" t="s">
        <v>1633</v>
      </c>
    </row>
    <row r="324" spans="1:11" ht="30">
      <c r="B324" s="3" t="s">
        <v>1632</v>
      </c>
    </row>
    <row r="325" spans="1:11">
      <c r="A325" s="11" t="s">
        <v>1632</v>
      </c>
      <c r="B325" s="14">
        <v>240272522.52353016</v>
      </c>
      <c r="C325" s="10"/>
    </row>
    <row r="327" spans="1:11" ht="21" customHeight="1">
      <c r="A327" s="1" t="s">
        <v>248</v>
      </c>
    </row>
    <row r="328" spans="1:11">
      <c r="A328" s="2" t="s">
        <v>262</v>
      </c>
    </row>
    <row r="329" spans="1:11">
      <c r="A329" s="2" t="s">
        <v>249</v>
      </c>
    </row>
    <row r="330" spans="1:11">
      <c r="A330" t="s">
        <v>250</v>
      </c>
    </row>
    <row r="331" spans="1:11">
      <c r="B331" s="3" t="s">
        <v>60</v>
      </c>
      <c r="C331" s="3" t="s">
        <v>61</v>
      </c>
      <c r="D331" s="3" t="s">
        <v>62</v>
      </c>
      <c r="E331" s="3" t="s">
        <v>63</v>
      </c>
      <c r="F331" s="3" t="s">
        <v>64</v>
      </c>
      <c r="G331" s="3" t="s">
        <v>69</v>
      </c>
      <c r="H331" s="3" t="s">
        <v>65</v>
      </c>
      <c r="I331" s="3" t="s">
        <v>66</v>
      </c>
      <c r="J331" s="3" t="s">
        <v>67</v>
      </c>
    </row>
    <row r="332" spans="1:11">
      <c r="A332" s="11" t="s">
        <v>251</v>
      </c>
      <c r="B332" s="4">
        <v>0.27489787150128192</v>
      </c>
      <c r="C332" s="4">
        <v>0.27489787150128192</v>
      </c>
      <c r="D332" s="4">
        <v>0.27489787150128192</v>
      </c>
      <c r="E332" s="4">
        <v>0.27489787150128192</v>
      </c>
      <c r="F332" s="4">
        <v>0.27489787150128192</v>
      </c>
      <c r="G332" s="4">
        <v>0.27489787150128192</v>
      </c>
      <c r="H332" s="4">
        <v>0.27489787150128192</v>
      </c>
      <c r="I332" s="4">
        <v>0.27489787150128192</v>
      </c>
      <c r="J332" s="4">
        <v>0.27489787150128192</v>
      </c>
      <c r="K332" s="10" t="s">
        <v>262</v>
      </c>
    </row>
    <row r="334" spans="1:11" ht="21" customHeight="1">
      <c r="A334" s="1" t="str">
        <f>"Loss adjustment factors and network use matrices"&amp;" for "&amp;CDCM!B7&amp;" in "&amp;CDCM!C7&amp;" ("&amp;CDCM!D7&amp;")"</f>
        <v>Loss adjustment factors and network use matrices for 0 in 0 (0)</v>
      </c>
    </row>
    <row r="335" spans="1:11">
      <c r="A335" s="2" t="s">
        <v>252</v>
      </c>
    </row>
    <row r="336" spans="1:11">
      <c r="A336" s="2" t="s">
        <v>253</v>
      </c>
    </row>
    <row r="338" spans="1:10" ht="21" customHeight="1">
      <c r="A338" s="1" t="s">
        <v>254</v>
      </c>
    </row>
    <row r="339" spans="1:10">
      <c r="A339" s="2" t="s">
        <v>255</v>
      </c>
    </row>
    <row r="340" spans="1:10">
      <c r="A340" s="12" t="s">
        <v>256</v>
      </c>
    </row>
    <row r="341" spans="1:10">
      <c r="A341" s="12" t="s">
        <v>257</v>
      </c>
    </row>
    <row r="342" spans="1:10">
      <c r="A342" s="21" t="s">
        <v>258</v>
      </c>
      <c r="B342" s="2" t="s">
        <v>259</v>
      </c>
      <c r="C342" s="2"/>
      <c r="D342" s="2"/>
      <c r="E342" s="2"/>
      <c r="F342" s="2"/>
      <c r="G342" s="2"/>
      <c r="H342" s="2"/>
      <c r="I342" s="21" t="s">
        <v>260</v>
      </c>
    </row>
    <row r="343" spans="1:10">
      <c r="A343" s="21" t="s">
        <v>261</v>
      </c>
      <c r="B343" s="2" t="s">
        <v>262</v>
      </c>
      <c r="C343" s="2"/>
      <c r="D343" s="2"/>
      <c r="E343" s="2"/>
      <c r="F343" s="2"/>
      <c r="G343" s="2"/>
      <c r="H343" s="2"/>
      <c r="I343" s="21" t="s">
        <v>263</v>
      </c>
    </row>
    <row r="345" spans="1:10">
      <c r="B345" s="22" t="s">
        <v>264</v>
      </c>
      <c r="C345" s="22"/>
      <c r="D345" s="22"/>
      <c r="E345" s="22"/>
      <c r="F345" s="22"/>
      <c r="G345" s="22"/>
      <c r="H345" s="22"/>
    </row>
    <row r="346" spans="1:10">
      <c r="B346" s="3" t="s">
        <v>61</v>
      </c>
      <c r="C346" s="3" t="s">
        <v>62</v>
      </c>
      <c r="D346" s="3" t="s">
        <v>63</v>
      </c>
      <c r="E346" s="3" t="s">
        <v>64</v>
      </c>
      <c r="F346" s="3" t="s">
        <v>65</v>
      </c>
      <c r="G346" s="3" t="s">
        <v>66</v>
      </c>
      <c r="H346" s="3" t="s">
        <v>67</v>
      </c>
      <c r="I346" s="3" t="s">
        <v>116</v>
      </c>
    </row>
    <row r="347" spans="1:10">
      <c r="A347" s="11" t="s">
        <v>92</v>
      </c>
      <c r="B347" s="23">
        <v>0</v>
      </c>
      <c r="C347" s="23">
        <v>0</v>
      </c>
      <c r="D347" s="23">
        <v>0</v>
      </c>
      <c r="E347" s="23">
        <v>0</v>
      </c>
      <c r="F347" s="23">
        <v>0</v>
      </c>
      <c r="G347" s="23">
        <v>0</v>
      </c>
      <c r="H347" s="23">
        <v>1</v>
      </c>
      <c r="I347" s="6">
        <f t="shared" ref="I347:I373" si="0">SUMPRODUCT($B347:$H347,$B$104:$H$104)</f>
        <v>1.085</v>
      </c>
      <c r="J347" s="10"/>
    </row>
    <row r="348" spans="1:10">
      <c r="A348" s="11" t="s">
        <v>93</v>
      </c>
      <c r="B348" s="23">
        <v>0</v>
      </c>
      <c r="C348" s="23">
        <v>0</v>
      </c>
      <c r="D348" s="23">
        <v>0</v>
      </c>
      <c r="E348" s="23">
        <v>0</v>
      </c>
      <c r="F348" s="23">
        <v>0</v>
      </c>
      <c r="G348" s="23">
        <v>0</v>
      </c>
      <c r="H348" s="23">
        <v>1</v>
      </c>
      <c r="I348" s="6">
        <f t="shared" si="0"/>
        <v>1.085</v>
      </c>
      <c r="J348" s="10"/>
    </row>
    <row r="349" spans="1:10">
      <c r="A349" s="11" t="s">
        <v>129</v>
      </c>
      <c r="B349" s="23">
        <v>0</v>
      </c>
      <c r="C349" s="23">
        <v>0</v>
      </c>
      <c r="D349" s="23">
        <v>0</v>
      </c>
      <c r="E349" s="23">
        <v>0</v>
      </c>
      <c r="F349" s="23">
        <v>0</v>
      </c>
      <c r="G349" s="23">
        <v>0</v>
      </c>
      <c r="H349" s="23">
        <v>1</v>
      </c>
      <c r="I349" s="6">
        <f t="shared" si="0"/>
        <v>1.085</v>
      </c>
      <c r="J349" s="10"/>
    </row>
    <row r="350" spans="1:10">
      <c r="A350" s="11" t="s">
        <v>94</v>
      </c>
      <c r="B350" s="23">
        <v>0</v>
      </c>
      <c r="C350" s="23">
        <v>0</v>
      </c>
      <c r="D350" s="23">
        <v>0</v>
      </c>
      <c r="E350" s="23">
        <v>0</v>
      </c>
      <c r="F350" s="23">
        <v>0</v>
      </c>
      <c r="G350" s="23">
        <v>0</v>
      </c>
      <c r="H350" s="23">
        <v>1</v>
      </c>
      <c r="I350" s="6">
        <f t="shared" si="0"/>
        <v>1.085</v>
      </c>
      <c r="J350" s="10"/>
    </row>
    <row r="351" spans="1:10">
      <c r="A351" s="11" t="s">
        <v>95</v>
      </c>
      <c r="B351" s="23">
        <v>0</v>
      </c>
      <c r="C351" s="23">
        <v>0</v>
      </c>
      <c r="D351" s="23">
        <v>0</v>
      </c>
      <c r="E351" s="23">
        <v>0</v>
      </c>
      <c r="F351" s="23">
        <v>0</v>
      </c>
      <c r="G351" s="23">
        <v>0</v>
      </c>
      <c r="H351" s="23">
        <v>1</v>
      </c>
      <c r="I351" s="6">
        <f t="shared" si="0"/>
        <v>1.085</v>
      </c>
      <c r="J351" s="10"/>
    </row>
    <row r="352" spans="1:10">
      <c r="A352" s="11" t="s">
        <v>130</v>
      </c>
      <c r="B352" s="23">
        <v>0</v>
      </c>
      <c r="C352" s="23">
        <v>0</v>
      </c>
      <c r="D352" s="23">
        <v>0</v>
      </c>
      <c r="E352" s="23">
        <v>0</v>
      </c>
      <c r="F352" s="23">
        <v>0</v>
      </c>
      <c r="G352" s="23">
        <v>0</v>
      </c>
      <c r="H352" s="23">
        <v>1</v>
      </c>
      <c r="I352" s="6">
        <f t="shared" si="0"/>
        <v>1.085</v>
      </c>
      <c r="J352" s="10"/>
    </row>
    <row r="353" spans="1:10">
      <c r="A353" s="11" t="s">
        <v>96</v>
      </c>
      <c r="B353" s="23">
        <v>0</v>
      </c>
      <c r="C353" s="23">
        <v>0</v>
      </c>
      <c r="D353" s="23">
        <v>0</v>
      </c>
      <c r="E353" s="23">
        <v>0</v>
      </c>
      <c r="F353" s="23">
        <v>0</v>
      </c>
      <c r="G353" s="23">
        <v>0</v>
      </c>
      <c r="H353" s="23">
        <v>1</v>
      </c>
      <c r="I353" s="6">
        <f t="shared" si="0"/>
        <v>1.085</v>
      </c>
      <c r="J353" s="10"/>
    </row>
    <row r="354" spans="1:10">
      <c r="A354" s="11" t="s">
        <v>97</v>
      </c>
      <c r="B354" s="23">
        <v>0</v>
      </c>
      <c r="C354" s="23">
        <v>0</v>
      </c>
      <c r="D354" s="23">
        <v>0</v>
      </c>
      <c r="E354" s="23">
        <v>0</v>
      </c>
      <c r="F354" s="23">
        <v>0</v>
      </c>
      <c r="G354" s="23">
        <v>1</v>
      </c>
      <c r="H354" s="23">
        <v>0</v>
      </c>
      <c r="I354" s="6">
        <f t="shared" si="0"/>
        <v>1.0640000000000001</v>
      </c>
      <c r="J354" s="10"/>
    </row>
    <row r="355" spans="1:10">
      <c r="A355" s="11" t="s">
        <v>110</v>
      </c>
      <c r="B355" s="23">
        <v>0</v>
      </c>
      <c r="C355" s="23">
        <v>0</v>
      </c>
      <c r="D355" s="23">
        <v>0</v>
      </c>
      <c r="E355" s="23">
        <v>0</v>
      </c>
      <c r="F355" s="23">
        <v>1</v>
      </c>
      <c r="G355" s="23">
        <v>0</v>
      </c>
      <c r="H355" s="23">
        <v>0</v>
      </c>
      <c r="I355" s="6">
        <f t="shared" si="0"/>
        <v>1.0439000000000001</v>
      </c>
      <c r="J355" s="10"/>
    </row>
    <row r="356" spans="1:10">
      <c r="A356" s="11" t="s">
        <v>1647</v>
      </c>
      <c r="B356" s="23">
        <v>0</v>
      </c>
      <c r="C356" s="23">
        <v>0</v>
      </c>
      <c r="D356" s="23">
        <v>0</v>
      </c>
      <c r="E356" s="23">
        <v>0</v>
      </c>
      <c r="F356" s="23">
        <v>0</v>
      </c>
      <c r="G356" s="23">
        <v>0</v>
      </c>
      <c r="H356" s="23">
        <v>1</v>
      </c>
      <c r="I356" s="6">
        <f t="shared" si="0"/>
        <v>1.085</v>
      </c>
      <c r="J356" s="10"/>
    </row>
    <row r="357" spans="1:10">
      <c r="A357" s="11" t="s">
        <v>1646</v>
      </c>
      <c r="B357" s="23">
        <v>0</v>
      </c>
      <c r="C357" s="23">
        <v>0</v>
      </c>
      <c r="D357" s="23">
        <v>0</v>
      </c>
      <c r="E357" s="23">
        <v>0</v>
      </c>
      <c r="F357" s="23">
        <v>0</v>
      </c>
      <c r="G357" s="23">
        <v>0</v>
      </c>
      <c r="H357" s="23">
        <v>1</v>
      </c>
      <c r="I357" s="6">
        <f t="shared" si="0"/>
        <v>1.085</v>
      </c>
      <c r="J357" s="10"/>
    </row>
    <row r="358" spans="1:10">
      <c r="A358" s="11" t="s">
        <v>98</v>
      </c>
      <c r="B358" s="23">
        <v>0</v>
      </c>
      <c r="C358" s="23">
        <v>0</v>
      </c>
      <c r="D358" s="23">
        <v>0</v>
      </c>
      <c r="E358" s="23">
        <v>0</v>
      </c>
      <c r="F358" s="23">
        <v>0</v>
      </c>
      <c r="G358" s="23">
        <v>0</v>
      </c>
      <c r="H358" s="23">
        <v>1</v>
      </c>
      <c r="I358" s="6">
        <f t="shared" si="0"/>
        <v>1.085</v>
      </c>
      <c r="J358" s="10"/>
    </row>
    <row r="359" spans="1:10">
      <c r="A359" s="11" t="s">
        <v>99</v>
      </c>
      <c r="B359" s="23">
        <v>0</v>
      </c>
      <c r="C359" s="23">
        <v>0</v>
      </c>
      <c r="D359" s="23">
        <v>0</v>
      </c>
      <c r="E359" s="23">
        <v>0</v>
      </c>
      <c r="F359" s="23">
        <v>0</v>
      </c>
      <c r="G359" s="23">
        <v>1</v>
      </c>
      <c r="H359" s="23">
        <v>0</v>
      </c>
      <c r="I359" s="6">
        <f t="shared" si="0"/>
        <v>1.0640000000000001</v>
      </c>
      <c r="J359" s="10"/>
    </row>
    <row r="360" spans="1:10">
      <c r="A360" s="11" t="s">
        <v>111</v>
      </c>
      <c r="B360" s="23">
        <v>0</v>
      </c>
      <c r="C360" s="23">
        <v>0</v>
      </c>
      <c r="D360" s="23">
        <v>0</v>
      </c>
      <c r="E360" s="23">
        <v>0</v>
      </c>
      <c r="F360" s="23">
        <v>1</v>
      </c>
      <c r="G360" s="23">
        <v>0</v>
      </c>
      <c r="H360" s="23">
        <v>0</v>
      </c>
      <c r="I360" s="6">
        <f t="shared" si="0"/>
        <v>1.0439000000000001</v>
      </c>
      <c r="J360" s="10"/>
    </row>
    <row r="361" spans="1:10">
      <c r="A361" s="11" t="s">
        <v>131</v>
      </c>
      <c r="B361" s="23">
        <v>0</v>
      </c>
      <c r="C361" s="23">
        <v>0</v>
      </c>
      <c r="D361" s="23">
        <v>0</v>
      </c>
      <c r="E361" s="23">
        <v>0</v>
      </c>
      <c r="F361" s="23">
        <v>0</v>
      </c>
      <c r="G361" s="23">
        <v>0</v>
      </c>
      <c r="H361" s="23">
        <v>1</v>
      </c>
      <c r="I361" s="6">
        <f t="shared" si="0"/>
        <v>1.085</v>
      </c>
      <c r="J361" s="10"/>
    </row>
    <row r="362" spans="1:10">
      <c r="A362" s="11" t="s">
        <v>132</v>
      </c>
      <c r="B362" s="23">
        <v>0</v>
      </c>
      <c r="C362" s="23">
        <v>0</v>
      </c>
      <c r="D362" s="23">
        <v>0</v>
      </c>
      <c r="E362" s="23">
        <v>0</v>
      </c>
      <c r="F362" s="23">
        <v>0</v>
      </c>
      <c r="G362" s="23">
        <v>0</v>
      </c>
      <c r="H362" s="23">
        <v>1</v>
      </c>
      <c r="I362" s="6">
        <f t="shared" si="0"/>
        <v>1.085</v>
      </c>
      <c r="J362" s="10"/>
    </row>
    <row r="363" spans="1:10">
      <c r="A363" s="11" t="s">
        <v>133</v>
      </c>
      <c r="B363" s="23">
        <v>0</v>
      </c>
      <c r="C363" s="23">
        <v>0</v>
      </c>
      <c r="D363" s="23">
        <v>0</v>
      </c>
      <c r="E363" s="23">
        <v>0</v>
      </c>
      <c r="F363" s="23">
        <v>0</v>
      </c>
      <c r="G363" s="23">
        <v>0</v>
      </c>
      <c r="H363" s="23">
        <v>1</v>
      </c>
      <c r="I363" s="6">
        <f t="shared" si="0"/>
        <v>1.085</v>
      </c>
      <c r="J363" s="10"/>
    </row>
    <row r="364" spans="1:10">
      <c r="A364" s="11" t="s">
        <v>134</v>
      </c>
      <c r="B364" s="23">
        <v>0</v>
      </c>
      <c r="C364" s="23">
        <v>0</v>
      </c>
      <c r="D364" s="23">
        <v>0</v>
      </c>
      <c r="E364" s="23">
        <v>0</v>
      </c>
      <c r="F364" s="23">
        <v>0</v>
      </c>
      <c r="G364" s="23">
        <v>0</v>
      </c>
      <c r="H364" s="23">
        <v>1</v>
      </c>
      <c r="I364" s="6">
        <f t="shared" si="0"/>
        <v>1.085</v>
      </c>
      <c r="J364" s="10"/>
    </row>
    <row r="365" spans="1:10">
      <c r="A365" s="11" t="s">
        <v>135</v>
      </c>
      <c r="B365" s="23">
        <v>0</v>
      </c>
      <c r="C365" s="23">
        <v>0</v>
      </c>
      <c r="D365" s="23">
        <v>0</v>
      </c>
      <c r="E365" s="23">
        <v>0</v>
      </c>
      <c r="F365" s="23">
        <v>0</v>
      </c>
      <c r="G365" s="23">
        <v>0</v>
      </c>
      <c r="H365" s="23">
        <v>1</v>
      </c>
      <c r="I365" s="6">
        <f t="shared" si="0"/>
        <v>1.085</v>
      </c>
      <c r="J365" s="10"/>
    </row>
    <row r="366" spans="1:10">
      <c r="A366" s="11" t="s">
        <v>1645</v>
      </c>
      <c r="B366" s="23">
        <v>0</v>
      </c>
      <c r="C366" s="23">
        <v>0</v>
      </c>
      <c r="D366" s="23">
        <v>0</v>
      </c>
      <c r="E366" s="23">
        <v>0</v>
      </c>
      <c r="F366" s="23">
        <v>0</v>
      </c>
      <c r="G366" s="23">
        <v>0</v>
      </c>
      <c r="H366" s="23">
        <v>1</v>
      </c>
      <c r="I366" s="6">
        <f t="shared" si="0"/>
        <v>1.085</v>
      </c>
      <c r="J366" s="10"/>
    </row>
    <row r="367" spans="1:10">
      <c r="A367" s="11" t="s">
        <v>100</v>
      </c>
      <c r="B367" s="23">
        <v>0</v>
      </c>
      <c r="C367" s="23">
        <v>0</v>
      </c>
      <c r="D367" s="23">
        <v>0</v>
      </c>
      <c r="E367" s="23">
        <v>0</v>
      </c>
      <c r="F367" s="23">
        <v>0</v>
      </c>
      <c r="G367" s="23">
        <v>1</v>
      </c>
      <c r="H367" s="23">
        <v>0</v>
      </c>
      <c r="I367" s="6">
        <f t="shared" si="0"/>
        <v>1.0640000000000001</v>
      </c>
      <c r="J367" s="10"/>
    </row>
    <row r="368" spans="1:10">
      <c r="A368" s="11" t="s">
        <v>101</v>
      </c>
      <c r="B368" s="23">
        <v>0</v>
      </c>
      <c r="C368" s="23">
        <v>0</v>
      </c>
      <c r="D368" s="23">
        <v>0</v>
      </c>
      <c r="E368" s="23">
        <v>0</v>
      </c>
      <c r="F368" s="23">
        <v>0</v>
      </c>
      <c r="G368" s="23">
        <v>0</v>
      </c>
      <c r="H368" s="23">
        <v>1</v>
      </c>
      <c r="I368" s="6">
        <f t="shared" si="0"/>
        <v>1.085</v>
      </c>
      <c r="J368" s="10"/>
    </row>
    <row r="369" spans="1:10">
      <c r="A369" s="11" t="s">
        <v>102</v>
      </c>
      <c r="B369" s="23">
        <v>0</v>
      </c>
      <c r="C369" s="23">
        <v>0</v>
      </c>
      <c r="D369" s="23">
        <v>0</v>
      </c>
      <c r="E369" s="23">
        <v>0</v>
      </c>
      <c r="F369" s="23">
        <v>0</v>
      </c>
      <c r="G369" s="23">
        <v>0</v>
      </c>
      <c r="H369" s="23">
        <v>1</v>
      </c>
      <c r="I369" s="6">
        <f t="shared" si="0"/>
        <v>1.085</v>
      </c>
      <c r="J369" s="10"/>
    </row>
    <row r="370" spans="1:10">
      <c r="A370" s="11" t="s">
        <v>103</v>
      </c>
      <c r="B370" s="23">
        <v>0</v>
      </c>
      <c r="C370" s="23">
        <v>0</v>
      </c>
      <c r="D370" s="23">
        <v>0</v>
      </c>
      <c r="E370" s="23">
        <v>0</v>
      </c>
      <c r="F370" s="23">
        <v>0</v>
      </c>
      <c r="G370" s="23">
        <v>1</v>
      </c>
      <c r="H370" s="23">
        <v>0</v>
      </c>
      <c r="I370" s="6">
        <f t="shared" si="0"/>
        <v>1.0640000000000001</v>
      </c>
      <c r="J370" s="10"/>
    </row>
    <row r="371" spans="1:10">
      <c r="A371" s="11" t="s">
        <v>104</v>
      </c>
      <c r="B371" s="23">
        <v>0</v>
      </c>
      <c r="C371" s="23">
        <v>0</v>
      </c>
      <c r="D371" s="23">
        <v>0</v>
      </c>
      <c r="E371" s="23">
        <v>0</v>
      </c>
      <c r="F371" s="23">
        <v>0</v>
      </c>
      <c r="G371" s="23">
        <v>1</v>
      </c>
      <c r="H371" s="23">
        <v>0</v>
      </c>
      <c r="I371" s="6">
        <f t="shared" si="0"/>
        <v>1.0640000000000001</v>
      </c>
      <c r="J371" s="10"/>
    </row>
    <row r="372" spans="1:10">
      <c r="A372" s="11" t="s">
        <v>112</v>
      </c>
      <c r="B372" s="23">
        <v>0</v>
      </c>
      <c r="C372" s="23">
        <v>0</v>
      </c>
      <c r="D372" s="23">
        <v>0</v>
      </c>
      <c r="E372" s="23">
        <v>0</v>
      </c>
      <c r="F372" s="23">
        <v>1</v>
      </c>
      <c r="G372" s="23">
        <v>0</v>
      </c>
      <c r="H372" s="23">
        <v>0</v>
      </c>
      <c r="I372" s="6">
        <f t="shared" si="0"/>
        <v>1.0439000000000001</v>
      </c>
      <c r="J372" s="10"/>
    </row>
    <row r="373" spans="1:10">
      <c r="A373" s="11" t="s">
        <v>113</v>
      </c>
      <c r="B373" s="23">
        <v>0</v>
      </c>
      <c r="C373" s="23">
        <v>0</v>
      </c>
      <c r="D373" s="23">
        <v>0</v>
      </c>
      <c r="E373" s="23">
        <v>0</v>
      </c>
      <c r="F373" s="23">
        <v>1</v>
      </c>
      <c r="G373" s="23">
        <v>0</v>
      </c>
      <c r="H373" s="23">
        <v>0</v>
      </c>
      <c r="I373" s="6">
        <f t="shared" si="0"/>
        <v>1.0439000000000001</v>
      </c>
      <c r="J373" s="10"/>
    </row>
    <row r="375" spans="1:10" ht="21" customHeight="1">
      <c r="A375" s="1" t="s">
        <v>265</v>
      </c>
    </row>
    <row r="377" spans="1:10">
      <c r="B377" s="3" t="s">
        <v>61</v>
      </c>
      <c r="C377" s="3" t="s">
        <v>62</v>
      </c>
      <c r="D377" s="3" t="s">
        <v>63</v>
      </c>
      <c r="E377" s="3" t="s">
        <v>64</v>
      </c>
      <c r="F377" s="3" t="s">
        <v>65</v>
      </c>
      <c r="G377" s="3" t="s">
        <v>66</v>
      </c>
      <c r="H377" s="3" t="s">
        <v>67</v>
      </c>
    </row>
    <row r="378" spans="1:10">
      <c r="A378" s="11" t="s">
        <v>61</v>
      </c>
      <c r="B378" s="23">
        <v>1</v>
      </c>
      <c r="C378" s="23">
        <v>0</v>
      </c>
      <c r="D378" s="23">
        <v>0</v>
      </c>
      <c r="E378" s="23">
        <v>0</v>
      </c>
      <c r="F378" s="23">
        <v>0</v>
      </c>
      <c r="G378" s="23">
        <v>0</v>
      </c>
      <c r="H378" s="23">
        <v>0</v>
      </c>
      <c r="I378" s="10"/>
    </row>
    <row r="379" spans="1:10">
      <c r="A379" s="11" t="s">
        <v>62</v>
      </c>
      <c r="B379" s="23">
        <v>0</v>
      </c>
      <c r="C379" s="23">
        <v>1</v>
      </c>
      <c r="D379" s="23">
        <v>0</v>
      </c>
      <c r="E379" s="23">
        <v>0</v>
      </c>
      <c r="F379" s="23">
        <v>0</v>
      </c>
      <c r="G379" s="23">
        <v>0</v>
      </c>
      <c r="H379" s="23">
        <v>0</v>
      </c>
      <c r="I379" s="10"/>
    </row>
    <row r="380" spans="1:10">
      <c r="A380" s="11" t="s">
        <v>63</v>
      </c>
      <c r="B380" s="23">
        <v>0</v>
      </c>
      <c r="C380" s="23">
        <v>0</v>
      </c>
      <c r="D380" s="23">
        <v>1</v>
      </c>
      <c r="E380" s="23">
        <v>0</v>
      </c>
      <c r="F380" s="23">
        <v>0</v>
      </c>
      <c r="G380" s="23">
        <v>0</v>
      </c>
      <c r="H380" s="23">
        <v>0</v>
      </c>
      <c r="I380" s="10"/>
    </row>
    <row r="381" spans="1:10">
      <c r="A381" s="11" t="s">
        <v>64</v>
      </c>
      <c r="B381" s="23">
        <v>0</v>
      </c>
      <c r="C381" s="23">
        <v>0</v>
      </c>
      <c r="D381" s="23">
        <v>0</v>
      </c>
      <c r="E381" s="23">
        <v>1</v>
      </c>
      <c r="F381" s="23">
        <v>0</v>
      </c>
      <c r="G381" s="23">
        <v>0</v>
      </c>
      <c r="H381" s="23">
        <v>0</v>
      </c>
      <c r="I381" s="10"/>
    </row>
    <row r="382" spans="1:10">
      <c r="A382" s="11" t="s">
        <v>69</v>
      </c>
      <c r="B382" s="23">
        <v>0</v>
      </c>
      <c r="C382" s="23">
        <v>0</v>
      </c>
      <c r="D382" s="23">
        <v>0</v>
      </c>
      <c r="E382" s="23">
        <v>1</v>
      </c>
      <c r="F382" s="23">
        <v>0</v>
      </c>
      <c r="G382" s="23">
        <v>0</v>
      </c>
      <c r="H382" s="23">
        <v>0</v>
      </c>
      <c r="I382" s="10"/>
    </row>
    <row r="383" spans="1:10">
      <c r="A383" s="11" t="s">
        <v>65</v>
      </c>
      <c r="B383" s="23">
        <v>0</v>
      </c>
      <c r="C383" s="23">
        <v>0</v>
      </c>
      <c r="D383" s="23">
        <v>0</v>
      </c>
      <c r="E383" s="23">
        <v>0</v>
      </c>
      <c r="F383" s="23">
        <v>1</v>
      </c>
      <c r="G383" s="23">
        <v>0</v>
      </c>
      <c r="H383" s="23">
        <v>0</v>
      </c>
      <c r="I383" s="10"/>
    </row>
    <row r="384" spans="1:10">
      <c r="A384" s="11" t="s">
        <v>66</v>
      </c>
      <c r="B384" s="23">
        <v>0</v>
      </c>
      <c r="C384" s="23">
        <v>0</v>
      </c>
      <c r="D384" s="23">
        <v>0</v>
      </c>
      <c r="E384" s="23">
        <v>0</v>
      </c>
      <c r="F384" s="23">
        <v>0</v>
      </c>
      <c r="G384" s="23">
        <v>1</v>
      </c>
      <c r="H384" s="23">
        <v>0</v>
      </c>
      <c r="I384" s="10"/>
    </row>
    <row r="385" spans="1:9">
      <c r="A385" s="11" t="s">
        <v>67</v>
      </c>
      <c r="B385" s="23">
        <v>0</v>
      </c>
      <c r="C385" s="23">
        <v>0</v>
      </c>
      <c r="D385" s="23">
        <v>0</v>
      </c>
      <c r="E385" s="23">
        <v>0</v>
      </c>
      <c r="F385" s="23">
        <v>0</v>
      </c>
      <c r="G385" s="23">
        <v>0</v>
      </c>
      <c r="H385" s="23">
        <v>1</v>
      </c>
      <c r="I385" s="10"/>
    </row>
    <row r="387" spans="1:9" ht="21" customHeight="1">
      <c r="A387" s="1" t="s">
        <v>266</v>
      </c>
    </row>
    <row r="388" spans="1:9">
      <c r="A388" s="2" t="s">
        <v>255</v>
      </c>
    </row>
    <row r="389" spans="1:9">
      <c r="A389" s="12" t="s">
        <v>267</v>
      </c>
    </row>
    <row r="390" spans="1:9">
      <c r="A390" s="12" t="s">
        <v>257</v>
      </c>
    </row>
    <row r="391" spans="1:9">
      <c r="A391" s="2" t="s">
        <v>268</v>
      </c>
    </row>
    <row r="393" spans="1:9" ht="45">
      <c r="B393" s="3" t="s">
        <v>269</v>
      </c>
    </row>
    <row r="394" spans="1:9">
      <c r="A394" s="11" t="s">
        <v>61</v>
      </c>
      <c r="B394" s="6">
        <f t="shared" ref="B394:B401" si="1">SUMPRODUCT($B378:$H378,$B$104:$H$104)</f>
        <v>1.0097</v>
      </c>
      <c r="C394" s="10"/>
    </row>
    <row r="395" spans="1:9">
      <c r="A395" s="11" t="s">
        <v>62</v>
      </c>
      <c r="B395" s="6">
        <f t="shared" si="1"/>
        <v>1.0142</v>
      </c>
      <c r="C395" s="10"/>
    </row>
    <row r="396" spans="1:9">
      <c r="A396" s="11" t="s">
        <v>63</v>
      </c>
      <c r="B396" s="6">
        <f t="shared" si="1"/>
        <v>1.0269999999999999</v>
      </c>
      <c r="C396" s="10"/>
    </row>
    <row r="397" spans="1:9">
      <c r="A397" s="11" t="s">
        <v>64</v>
      </c>
      <c r="B397" s="6">
        <f t="shared" si="1"/>
        <v>1.0348999999999999</v>
      </c>
      <c r="C397" s="10"/>
    </row>
    <row r="398" spans="1:9">
      <c r="A398" s="11" t="s">
        <v>69</v>
      </c>
      <c r="B398" s="6">
        <f t="shared" si="1"/>
        <v>1.0348999999999999</v>
      </c>
      <c r="C398" s="10"/>
    </row>
    <row r="399" spans="1:9">
      <c r="A399" s="11" t="s">
        <v>65</v>
      </c>
      <c r="B399" s="6">
        <f t="shared" si="1"/>
        <v>1.0439000000000001</v>
      </c>
      <c r="C399" s="10"/>
    </row>
    <row r="400" spans="1:9">
      <c r="A400" s="11" t="s">
        <v>66</v>
      </c>
      <c r="B400" s="6">
        <f t="shared" si="1"/>
        <v>1.0640000000000001</v>
      </c>
      <c r="C400" s="10"/>
    </row>
    <row r="401" spans="1:11">
      <c r="A401" s="11" t="s">
        <v>67</v>
      </c>
      <c r="B401" s="6">
        <f t="shared" si="1"/>
        <v>1.085</v>
      </c>
      <c r="C401" s="10"/>
    </row>
    <row r="403" spans="1:11" ht="21" customHeight="1">
      <c r="A403" s="1" t="s">
        <v>270</v>
      </c>
    </row>
    <row r="404" spans="1:11">
      <c r="A404" s="2" t="s">
        <v>255</v>
      </c>
    </row>
    <row r="405" spans="1:11">
      <c r="A405" s="12" t="s">
        <v>271</v>
      </c>
    </row>
    <row r="406" spans="1:11">
      <c r="A406" s="2" t="s">
        <v>272</v>
      </c>
    </row>
    <row r="407" spans="1:11">
      <c r="A407" s="2" t="s">
        <v>273</v>
      </c>
    </row>
    <row r="409" spans="1:11">
      <c r="B409" s="3" t="s">
        <v>60</v>
      </c>
      <c r="C409" s="3" t="s">
        <v>61</v>
      </c>
      <c r="D409" s="3" t="s">
        <v>62</v>
      </c>
      <c r="E409" s="3" t="s">
        <v>63</v>
      </c>
      <c r="F409" s="3" t="s">
        <v>64</v>
      </c>
      <c r="G409" s="3" t="s">
        <v>69</v>
      </c>
      <c r="H409" s="3" t="s">
        <v>65</v>
      </c>
      <c r="I409" s="3" t="s">
        <v>66</v>
      </c>
      <c r="J409" s="3" t="s">
        <v>67</v>
      </c>
    </row>
    <row r="410" spans="1:11" ht="30">
      <c r="A410" s="11" t="s">
        <v>274</v>
      </c>
      <c r="B410" s="5">
        <v>1</v>
      </c>
      <c r="C410" s="7">
        <f>$B$394</f>
        <v>1.0097</v>
      </c>
      <c r="D410" s="7">
        <f>$B$395</f>
        <v>1.0142</v>
      </c>
      <c r="E410" s="7">
        <f>$B$396</f>
        <v>1.0269999999999999</v>
      </c>
      <c r="F410" s="7">
        <f>$B$397</f>
        <v>1.0348999999999999</v>
      </c>
      <c r="G410" s="7">
        <f>$B$398</f>
        <v>1.0348999999999999</v>
      </c>
      <c r="H410" s="7">
        <f>$B$399</f>
        <v>1.0439000000000001</v>
      </c>
      <c r="I410" s="7">
        <f>$B$400</f>
        <v>1.0640000000000001</v>
      </c>
      <c r="J410" s="7">
        <f>$B$401</f>
        <v>1.085</v>
      </c>
      <c r="K410" s="10"/>
    </row>
    <row r="412" spans="1:11" ht="21" customHeight="1">
      <c r="A412" s="1" t="s">
        <v>275</v>
      </c>
    </row>
    <row r="413" spans="1:11">
      <c r="A413" s="2" t="s">
        <v>1631</v>
      </c>
    </row>
    <row r="414" spans="1:11">
      <c r="A414" s="2" t="s">
        <v>1630</v>
      </c>
    </row>
    <row r="415" spans="1:11">
      <c r="A415" s="2" t="s">
        <v>1629</v>
      </c>
    </row>
    <row r="417" spans="1:10">
      <c r="B417" s="3" t="s">
        <v>60</v>
      </c>
      <c r="C417" s="3" t="s">
        <v>61</v>
      </c>
      <c r="D417" s="3" t="s">
        <v>62</v>
      </c>
      <c r="E417" s="3" t="s">
        <v>63</v>
      </c>
      <c r="F417" s="3" t="s">
        <v>64</v>
      </c>
      <c r="G417" s="3" t="s">
        <v>65</v>
      </c>
      <c r="H417" s="3" t="s">
        <v>66</v>
      </c>
      <c r="I417" s="3" t="s">
        <v>67</v>
      </c>
    </row>
    <row r="418" spans="1:10">
      <c r="A418" s="11" t="s">
        <v>92</v>
      </c>
      <c r="B418" s="5">
        <v>1</v>
      </c>
      <c r="C418" s="5">
        <v>1</v>
      </c>
      <c r="D418" s="5">
        <v>1</v>
      </c>
      <c r="E418" s="5">
        <v>1</v>
      </c>
      <c r="F418" s="5">
        <v>1</v>
      </c>
      <c r="G418" s="5">
        <v>1</v>
      </c>
      <c r="H418" s="5">
        <v>1</v>
      </c>
      <c r="I418" s="5">
        <v>1</v>
      </c>
      <c r="J418" s="10"/>
    </row>
    <row r="419" spans="1:10">
      <c r="A419" s="11" t="s">
        <v>93</v>
      </c>
      <c r="B419" s="5">
        <v>1</v>
      </c>
      <c r="C419" s="5">
        <v>1</v>
      </c>
      <c r="D419" s="5">
        <v>1</v>
      </c>
      <c r="E419" s="5">
        <v>1</v>
      </c>
      <c r="F419" s="5">
        <v>1</v>
      </c>
      <c r="G419" s="5">
        <v>1</v>
      </c>
      <c r="H419" s="5">
        <v>1</v>
      </c>
      <c r="I419" s="5">
        <v>1</v>
      </c>
      <c r="J419" s="10"/>
    </row>
    <row r="420" spans="1:10">
      <c r="A420" s="11" t="s">
        <v>129</v>
      </c>
      <c r="B420" s="5">
        <v>1</v>
      </c>
      <c r="C420" s="5">
        <v>1</v>
      </c>
      <c r="D420" s="5">
        <v>1</v>
      </c>
      <c r="E420" s="5">
        <v>1</v>
      </c>
      <c r="F420" s="5">
        <v>1</v>
      </c>
      <c r="G420" s="5">
        <v>1</v>
      </c>
      <c r="H420" s="5">
        <v>1</v>
      </c>
      <c r="I420" s="5">
        <v>1</v>
      </c>
      <c r="J420" s="10"/>
    </row>
    <row r="421" spans="1:10">
      <c r="A421" s="11" t="s">
        <v>94</v>
      </c>
      <c r="B421" s="5">
        <v>1</v>
      </c>
      <c r="C421" s="5">
        <v>1</v>
      </c>
      <c r="D421" s="5">
        <v>1</v>
      </c>
      <c r="E421" s="5">
        <v>1</v>
      </c>
      <c r="F421" s="5">
        <v>1</v>
      </c>
      <c r="G421" s="5">
        <v>1</v>
      </c>
      <c r="H421" s="5">
        <v>1</v>
      </c>
      <c r="I421" s="5">
        <v>1</v>
      </c>
      <c r="J421" s="10"/>
    </row>
    <row r="422" spans="1:10">
      <c r="A422" s="11" t="s">
        <v>95</v>
      </c>
      <c r="B422" s="5">
        <v>1</v>
      </c>
      <c r="C422" s="5">
        <v>1</v>
      </c>
      <c r="D422" s="5">
        <v>1</v>
      </c>
      <c r="E422" s="5">
        <v>1</v>
      </c>
      <c r="F422" s="5">
        <v>1</v>
      </c>
      <c r="G422" s="5">
        <v>1</v>
      </c>
      <c r="H422" s="5">
        <v>1</v>
      </c>
      <c r="I422" s="5">
        <v>1</v>
      </c>
      <c r="J422" s="10"/>
    </row>
    <row r="423" spans="1:10">
      <c r="A423" s="11" t="s">
        <v>130</v>
      </c>
      <c r="B423" s="5">
        <v>1</v>
      </c>
      <c r="C423" s="5">
        <v>1</v>
      </c>
      <c r="D423" s="5">
        <v>1</v>
      </c>
      <c r="E423" s="5">
        <v>1</v>
      </c>
      <c r="F423" s="5">
        <v>1</v>
      </c>
      <c r="G423" s="5">
        <v>1</v>
      </c>
      <c r="H423" s="5">
        <v>1</v>
      </c>
      <c r="I423" s="5">
        <v>1</v>
      </c>
      <c r="J423" s="10"/>
    </row>
    <row r="424" spans="1:10">
      <c r="A424" s="11" t="s">
        <v>96</v>
      </c>
      <c r="B424" s="5">
        <v>1</v>
      </c>
      <c r="C424" s="5">
        <v>1</v>
      </c>
      <c r="D424" s="5">
        <v>1</v>
      </c>
      <c r="E424" s="5">
        <v>1</v>
      </c>
      <c r="F424" s="5">
        <v>1</v>
      </c>
      <c r="G424" s="5">
        <v>1</v>
      </c>
      <c r="H424" s="5">
        <v>1</v>
      </c>
      <c r="I424" s="5">
        <v>1</v>
      </c>
      <c r="J424" s="10"/>
    </row>
    <row r="425" spans="1:10">
      <c r="A425" s="11" t="s">
        <v>97</v>
      </c>
      <c r="B425" s="5">
        <v>1</v>
      </c>
      <c r="C425" s="5">
        <v>1</v>
      </c>
      <c r="D425" s="5">
        <v>1</v>
      </c>
      <c r="E425" s="5">
        <v>1</v>
      </c>
      <c r="F425" s="5">
        <v>1</v>
      </c>
      <c r="G425" s="5">
        <v>1</v>
      </c>
      <c r="H425" s="5">
        <v>1</v>
      </c>
      <c r="I425" s="5">
        <v>0</v>
      </c>
      <c r="J425" s="10"/>
    </row>
    <row r="426" spans="1:10">
      <c r="A426" s="11" t="s">
        <v>110</v>
      </c>
      <c r="B426" s="5">
        <v>1</v>
      </c>
      <c r="C426" s="5">
        <v>1</v>
      </c>
      <c r="D426" s="5">
        <v>1</v>
      </c>
      <c r="E426" s="5">
        <v>1</v>
      </c>
      <c r="F426" s="5">
        <v>1</v>
      </c>
      <c r="G426" s="5">
        <v>1</v>
      </c>
      <c r="H426" s="5">
        <v>0</v>
      </c>
      <c r="I426" s="5">
        <v>0</v>
      </c>
      <c r="J426" s="10"/>
    </row>
    <row r="427" spans="1:10">
      <c r="A427" s="11" t="s">
        <v>1647</v>
      </c>
      <c r="B427" s="5">
        <v>1</v>
      </c>
      <c r="C427" s="5">
        <v>1</v>
      </c>
      <c r="D427" s="5">
        <v>1</v>
      </c>
      <c r="E427" s="5">
        <v>1</v>
      </c>
      <c r="F427" s="5">
        <v>1</v>
      </c>
      <c r="G427" s="5">
        <v>1</v>
      </c>
      <c r="H427" s="5">
        <v>1</v>
      </c>
      <c r="I427" s="5">
        <v>1</v>
      </c>
      <c r="J427" s="10"/>
    </row>
    <row r="428" spans="1:10">
      <c r="A428" s="11" t="s">
        <v>1646</v>
      </c>
      <c r="B428" s="5">
        <v>1</v>
      </c>
      <c r="C428" s="5">
        <v>1</v>
      </c>
      <c r="D428" s="5">
        <v>1</v>
      </c>
      <c r="E428" s="5">
        <v>1</v>
      </c>
      <c r="F428" s="5">
        <v>1</v>
      </c>
      <c r="G428" s="5">
        <v>1</v>
      </c>
      <c r="H428" s="5">
        <v>1</v>
      </c>
      <c r="I428" s="5">
        <v>1</v>
      </c>
      <c r="J428" s="10"/>
    </row>
    <row r="429" spans="1:10">
      <c r="A429" s="11" t="s">
        <v>98</v>
      </c>
      <c r="B429" s="5">
        <v>1</v>
      </c>
      <c r="C429" s="5">
        <v>1</v>
      </c>
      <c r="D429" s="5">
        <v>1</v>
      </c>
      <c r="E429" s="5">
        <v>1</v>
      </c>
      <c r="F429" s="5">
        <v>1</v>
      </c>
      <c r="G429" s="5">
        <v>1</v>
      </c>
      <c r="H429" s="5">
        <v>1</v>
      </c>
      <c r="I429" s="5">
        <v>1</v>
      </c>
      <c r="J429" s="10"/>
    </row>
    <row r="430" spans="1:10">
      <c r="A430" s="11" t="s">
        <v>99</v>
      </c>
      <c r="B430" s="5">
        <v>1</v>
      </c>
      <c r="C430" s="5">
        <v>1</v>
      </c>
      <c r="D430" s="5">
        <v>1</v>
      </c>
      <c r="E430" s="5">
        <v>1</v>
      </c>
      <c r="F430" s="5">
        <v>1</v>
      </c>
      <c r="G430" s="5">
        <v>1</v>
      </c>
      <c r="H430" s="5">
        <v>1</v>
      </c>
      <c r="I430" s="5">
        <v>0</v>
      </c>
      <c r="J430" s="10"/>
    </row>
    <row r="431" spans="1:10">
      <c r="A431" s="11" t="s">
        <v>111</v>
      </c>
      <c r="B431" s="5">
        <v>1</v>
      </c>
      <c r="C431" s="5">
        <v>1</v>
      </c>
      <c r="D431" s="5">
        <v>1</v>
      </c>
      <c r="E431" s="5">
        <v>1</v>
      </c>
      <c r="F431" s="5">
        <v>1</v>
      </c>
      <c r="G431" s="5">
        <v>1</v>
      </c>
      <c r="H431" s="5">
        <v>0</v>
      </c>
      <c r="I431" s="5">
        <v>0</v>
      </c>
      <c r="J431" s="10"/>
    </row>
    <row r="432" spans="1:10">
      <c r="A432" s="11" t="s">
        <v>131</v>
      </c>
      <c r="B432" s="5">
        <v>1</v>
      </c>
      <c r="C432" s="5">
        <v>1</v>
      </c>
      <c r="D432" s="5">
        <v>1</v>
      </c>
      <c r="E432" s="5">
        <v>1</v>
      </c>
      <c r="F432" s="5">
        <v>1</v>
      </c>
      <c r="G432" s="5">
        <v>1</v>
      </c>
      <c r="H432" s="5">
        <v>1</v>
      </c>
      <c r="I432" s="5">
        <v>1</v>
      </c>
      <c r="J432" s="10"/>
    </row>
    <row r="433" spans="1:10">
      <c r="A433" s="11" t="s">
        <v>132</v>
      </c>
      <c r="B433" s="5">
        <v>1</v>
      </c>
      <c r="C433" s="5">
        <v>1</v>
      </c>
      <c r="D433" s="5">
        <v>1</v>
      </c>
      <c r="E433" s="5">
        <v>1</v>
      </c>
      <c r="F433" s="5">
        <v>1</v>
      </c>
      <c r="G433" s="5">
        <v>1</v>
      </c>
      <c r="H433" s="5">
        <v>1</v>
      </c>
      <c r="I433" s="5">
        <v>1</v>
      </c>
      <c r="J433" s="10"/>
    </row>
    <row r="434" spans="1:10">
      <c r="A434" s="11" t="s">
        <v>133</v>
      </c>
      <c r="B434" s="5">
        <v>1</v>
      </c>
      <c r="C434" s="5">
        <v>1</v>
      </c>
      <c r="D434" s="5">
        <v>1</v>
      </c>
      <c r="E434" s="5">
        <v>1</v>
      </c>
      <c r="F434" s="5">
        <v>1</v>
      </c>
      <c r="G434" s="5">
        <v>1</v>
      </c>
      <c r="H434" s="5">
        <v>1</v>
      </c>
      <c r="I434" s="5">
        <v>1</v>
      </c>
      <c r="J434" s="10"/>
    </row>
    <row r="435" spans="1:10">
      <c r="A435" s="11" t="s">
        <v>134</v>
      </c>
      <c r="B435" s="5">
        <v>1</v>
      </c>
      <c r="C435" s="5">
        <v>1</v>
      </c>
      <c r="D435" s="5">
        <v>1</v>
      </c>
      <c r="E435" s="5">
        <v>1</v>
      </c>
      <c r="F435" s="5">
        <v>1</v>
      </c>
      <c r="G435" s="5">
        <v>1</v>
      </c>
      <c r="H435" s="5">
        <v>1</v>
      </c>
      <c r="I435" s="5">
        <v>1</v>
      </c>
      <c r="J435" s="10"/>
    </row>
    <row r="436" spans="1:10">
      <c r="A436" s="11" t="s">
        <v>135</v>
      </c>
      <c r="B436" s="5">
        <v>1</v>
      </c>
      <c r="C436" s="5">
        <v>1</v>
      </c>
      <c r="D436" s="5">
        <v>1</v>
      </c>
      <c r="E436" s="5">
        <v>1</v>
      </c>
      <c r="F436" s="5">
        <v>1</v>
      </c>
      <c r="G436" s="5">
        <v>1</v>
      </c>
      <c r="H436" s="5">
        <v>1</v>
      </c>
      <c r="I436" s="5">
        <v>1</v>
      </c>
      <c r="J436" s="10"/>
    </row>
    <row r="437" spans="1:10">
      <c r="A437" s="11" t="s">
        <v>1645</v>
      </c>
      <c r="B437" s="5">
        <v>1</v>
      </c>
      <c r="C437" s="5">
        <v>1</v>
      </c>
      <c r="D437" s="5">
        <v>1</v>
      </c>
      <c r="E437" s="5">
        <v>1</v>
      </c>
      <c r="F437" s="5">
        <v>1</v>
      </c>
      <c r="G437" s="5">
        <v>1</v>
      </c>
      <c r="H437" s="5">
        <v>1</v>
      </c>
      <c r="I437" s="5">
        <v>0</v>
      </c>
      <c r="J437" s="10"/>
    </row>
    <row r="438" spans="1:10">
      <c r="A438" s="11" t="s">
        <v>100</v>
      </c>
      <c r="B438" s="5">
        <v>1</v>
      </c>
      <c r="C438" s="5">
        <v>1</v>
      </c>
      <c r="D438" s="5">
        <v>1</v>
      </c>
      <c r="E438" s="5">
        <v>1</v>
      </c>
      <c r="F438" s="5">
        <v>1</v>
      </c>
      <c r="G438" s="5">
        <v>1</v>
      </c>
      <c r="H438" s="5">
        <v>0</v>
      </c>
      <c r="I438" s="5">
        <v>0</v>
      </c>
      <c r="J438" s="10"/>
    </row>
    <row r="439" spans="1:10">
      <c r="A439" s="11" t="s">
        <v>101</v>
      </c>
      <c r="B439" s="5">
        <v>1</v>
      </c>
      <c r="C439" s="5">
        <v>1</v>
      </c>
      <c r="D439" s="5">
        <v>1</v>
      </c>
      <c r="E439" s="5">
        <v>1</v>
      </c>
      <c r="F439" s="5">
        <v>1</v>
      </c>
      <c r="G439" s="5">
        <v>1</v>
      </c>
      <c r="H439" s="5">
        <v>1</v>
      </c>
      <c r="I439" s="5">
        <v>0</v>
      </c>
      <c r="J439" s="10"/>
    </row>
    <row r="440" spans="1:10">
      <c r="A440" s="11" t="s">
        <v>102</v>
      </c>
      <c r="B440" s="5">
        <v>1</v>
      </c>
      <c r="C440" s="5">
        <v>1</v>
      </c>
      <c r="D440" s="5">
        <v>1</v>
      </c>
      <c r="E440" s="5">
        <v>1</v>
      </c>
      <c r="F440" s="5">
        <v>1</v>
      </c>
      <c r="G440" s="5">
        <v>1</v>
      </c>
      <c r="H440" s="5">
        <v>1</v>
      </c>
      <c r="I440" s="5">
        <v>0</v>
      </c>
      <c r="J440" s="10"/>
    </row>
    <row r="441" spans="1:10">
      <c r="A441" s="11" t="s">
        <v>103</v>
      </c>
      <c r="B441" s="5">
        <v>1</v>
      </c>
      <c r="C441" s="5">
        <v>1</v>
      </c>
      <c r="D441" s="5">
        <v>1</v>
      </c>
      <c r="E441" s="5">
        <v>1</v>
      </c>
      <c r="F441" s="5">
        <v>1</v>
      </c>
      <c r="G441" s="5">
        <v>1</v>
      </c>
      <c r="H441" s="5">
        <v>0</v>
      </c>
      <c r="I441" s="5">
        <v>0</v>
      </c>
      <c r="J441" s="10"/>
    </row>
    <row r="442" spans="1:10">
      <c r="A442" s="11" t="s">
        <v>104</v>
      </c>
      <c r="B442" s="5">
        <v>1</v>
      </c>
      <c r="C442" s="5">
        <v>1</v>
      </c>
      <c r="D442" s="5">
        <v>1</v>
      </c>
      <c r="E442" s="5">
        <v>1</v>
      </c>
      <c r="F442" s="5">
        <v>1</v>
      </c>
      <c r="G442" s="5">
        <v>1</v>
      </c>
      <c r="H442" s="5">
        <v>0</v>
      </c>
      <c r="I442" s="5">
        <v>0</v>
      </c>
      <c r="J442" s="10"/>
    </row>
    <row r="443" spans="1:10">
      <c r="A443" s="11" t="s">
        <v>112</v>
      </c>
      <c r="B443" s="5">
        <v>1</v>
      </c>
      <c r="C443" s="5">
        <v>1</v>
      </c>
      <c r="D443" s="5">
        <v>1</v>
      </c>
      <c r="E443" s="5">
        <v>1</v>
      </c>
      <c r="F443" s="5">
        <v>1</v>
      </c>
      <c r="G443" s="5">
        <v>0</v>
      </c>
      <c r="H443" s="5">
        <v>0</v>
      </c>
      <c r="I443" s="5">
        <v>0</v>
      </c>
      <c r="J443" s="10"/>
    </row>
    <row r="444" spans="1:10">
      <c r="A444" s="11" t="s">
        <v>113</v>
      </c>
      <c r="B444" s="5">
        <v>1</v>
      </c>
      <c r="C444" s="5">
        <v>1</v>
      </c>
      <c r="D444" s="5">
        <v>1</v>
      </c>
      <c r="E444" s="5">
        <v>1</v>
      </c>
      <c r="F444" s="5">
        <v>1</v>
      </c>
      <c r="G444" s="5">
        <v>0</v>
      </c>
      <c r="H444" s="5">
        <v>0</v>
      </c>
      <c r="I444" s="5">
        <v>0</v>
      </c>
      <c r="J444" s="10"/>
    </row>
    <row r="446" spans="1:10" ht="21" customHeight="1">
      <c r="A446" s="1" t="s">
        <v>276</v>
      </c>
    </row>
    <row r="447" spans="1:10">
      <c r="A447" s="2" t="s">
        <v>255</v>
      </c>
    </row>
    <row r="448" spans="1:10">
      <c r="A448" s="12" t="s">
        <v>277</v>
      </c>
    </row>
    <row r="449" spans="1:3">
      <c r="A449" s="2" t="s">
        <v>278</v>
      </c>
    </row>
    <row r="451" spans="1:3">
      <c r="B451" s="3" t="s">
        <v>62</v>
      </c>
    </row>
    <row r="452" spans="1:3">
      <c r="A452" s="11" t="s">
        <v>62</v>
      </c>
      <c r="B452" s="24">
        <f>1-$B$36</f>
        <v>0.7</v>
      </c>
      <c r="C452" s="10"/>
    </row>
    <row r="454" spans="1:3" ht="21" customHeight="1">
      <c r="A454" s="1" t="s">
        <v>279</v>
      </c>
    </row>
    <row r="455" spans="1:3">
      <c r="A455" s="2" t="s">
        <v>255</v>
      </c>
    </row>
    <row r="456" spans="1:3">
      <c r="A456" s="12" t="s">
        <v>277</v>
      </c>
    </row>
    <row r="457" spans="1:3">
      <c r="A457" s="2" t="s">
        <v>278</v>
      </c>
    </row>
    <row r="459" spans="1:3">
      <c r="B459" s="3" t="s">
        <v>63</v>
      </c>
    </row>
    <row r="460" spans="1:3">
      <c r="A460" s="11" t="s">
        <v>63</v>
      </c>
      <c r="B460" s="24">
        <f>1-$B$36</f>
        <v>0.7</v>
      </c>
      <c r="C460" s="10"/>
    </row>
    <row r="462" spans="1:3" ht="21" customHeight="1">
      <c r="A462" s="1" t="s">
        <v>280</v>
      </c>
    </row>
    <row r="463" spans="1:3">
      <c r="A463" s="2" t="s">
        <v>255</v>
      </c>
    </row>
    <row r="464" spans="1:3">
      <c r="A464" s="12" t="s">
        <v>277</v>
      </c>
    </row>
    <row r="465" spans="1:9">
      <c r="A465" s="2" t="s">
        <v>278</v>
      </c>
    </row>
    <row r="467" spans="1:9">
      <c r="B467" s="3" t="s">
        <v>64</v>
      </c>
    </row>
    <row r="468" spans="1:9">
      <c r="A468" s="11" t="s">
        <v>64</v>
      </c>
      <c r="B468" s="24">
        <f>1-$B$36</f>
        <v>0.7</v>
      </c>
      <c r="C468" s="10"/>
    </row>
    <row r="470" spans="1:9" ht="21" customHeight="1">
      <c r="A470" s="1" t="s">
        <v>281</v>
      </c>
    </row>
    <row r="471" spans="1:9">
      <c r="A471" s="2" t="s">
        <v>255</v>
      </c>
    </row>
    <row r="472" spans="1:9">
      <c r="A472" s="12" t="s">
        <v>277</v>
      </c>
    </row>
    <row r="473" spans="1:9">
      <c r="A473" s="12" t="s">
        <v>282</v>
      </c>
    </row>
    <row r="474" spans="1:9">
      <c r="A474" s="12" t="s">
        <v>283</v>
      </c>
    </row>
    <row r="475" spans="1:9">
      <c r="A475" s="12" t="s">
        <v>284</v>
      </c>
    </row>
    <row r="476" spans="1:9">
      <c r="A476" s="2" t="s">
        <v>285</v>
      </c>
    </row>
    <row r="477" spans="1:9">
      <c r="A477" s="2" t="s">
        <v>286</v>
      </c>
    </row>
    <row r="478" spans="1:9">
      <c r="A478" s="2" t="s">
        <v>287</v>
      </c>
    </row>
    <row r="480" spans="1:9">
      <c r="B480" s="3" t="s">
        <v>60</v>
      </c>
      <c r="C480" s="3" t="s">
        <v>61</v>
      </c>
      <c r="D480" s="3" t="s">
        <v>62</v>
      </c>
      <c r="E480" s="3" t="s">
        <v>63</v>
      </c>
      <c r="F480" s="3" t="s">
        <v>64</v>
      </c>
      <c r="G480" s="3" t="s">
        <v>65</v>
      </c>
      <c r="H480" s="3" t="s">
        <v>66</v>
      </c>
      <c r="I480" s="3" t="s">
        <v>67</v>
      </c>
    </row>
    <row r="481" spans="1:10">
      <c r="A481" s="11" t="s">
        <v>60</v>
      </c>
      <c r="B481" s="5">
        <v>1</v>
      </c>
      <c r="C481" s="9"/>
      <c r="D481" s="9"/>
      <c r="E481" s="9"/>
      <c r="F481" s="9"/>
      <c r="G481" s="9"/>
      <c r="H481" s="9"/>
      <c r="I481" s="9"/>
      <c r="J481" s="10"/>
    </row>
    <row r="482" spans="1:10">
      <c r="A482" s="11" t="s">
        <v>61</v>
      </c>
      <c r="B482" s="9"/>
      <c r="C482" s="25">
        <v>1</v>
      </c>
      <c r="D482" s="25">
        <v>0</v>
      </c>
      <c r="E482" s="25">
        <v>0</v>
      </c>
      <c r="F482" s="25">
        <v>0</v>
      </c>
      <c r="G482" s="25">
        <v>0</v>
      </c>
      <c r="H482" s="25">
        <v>0</v>
      </c>
      <c r="I482" s="25">
        <v>0</v>
      </c>
      <c r="J482" s="10"/>
    </row>
    <row r="483" spans="1:10">
      <c r="A483" s="11" t="s">
        <v>62</v>
      </c>
      <c r="B483" s="9"/>
      <c r="C483" s="25">
        <v>0</v>
      </c>
      <c r="D483" s="26">
        <f>$B$452</f>
        <v>0.7</v>
      </c>
      <c r="E483" s="25">
        <v>0</v>
      </c>
      <c r="F483" s="25">
        <v>0</v>
      </c>
      <c r="G483" s="25">
        <v>0</v>
      </c>
      <c r="H483" s="25">
        <v>0</v>
      </c>
      <c r="I483" s="25">
        <v>0</v>
      </c>
      <c r="J483" s="10"/>
    </row>
    <row r="484" spans="1:10">
      <c r="A484" s="11" t="s">
        <v>63</v>
      </c>
      <c r="B484" s="9"/>
      <c r="C484" s="25">
        <v>0</v>
      </c>
      <c r="D484" s="25">
        <v>0</v>
      </c>
      <c r="E484" s="26">
        <f>$B$460</f>
        <v>0.7</v>
      </c>
      <c r="F484" s="25">
        <v>0</v>
      </c>
      <c r="G484" s="25">
        <v>0</v>
      </c>
      <c r="H484" s="25">
        <v>0</v>
      </c>
      <c r="I484" s="25">
        <v>0</v>
      </c>
      <c r="J484" s="10"/>
    </row>
    <row r="485" spans="1:10">
      <c r="A485" s="11" t="s">
        <v>64</v>
      </c>
      <c r="B485" s="9"/>
      <c r="C485" s="25">
        <v>0</v>
      </c>
      <c r="D485" s="25">
        <v>0</v>
      </c>
      <c r="E485" s="25">
        <v>0</v>
      </c>
      <c r="F485" s="26">
        <f>$B$468</f>
        <v>0.7</v>
      </c>
      <c r="G485" s="25">
        <v>0</v>
      </c>
      <c r="H485" s="25">
        <v>0</v>
      </c>
      <c r="I485" s="25">
        <v>0</v>
      </c>
      <c r="J485" s="10"/>
    </row>
    <row r="486" spans="1:10">
      <c r="A486" s="11" t="s">
        <v>69</v>
      </c>
      <c r="B486" s="9"/>
      <c r="C486" s="25">
        <v>0</v>
      </c>
      <c r="D486" s="25">
        <v>0</v>
      </c>
      <c r="E486" s="25">
        <v>0</v>
      </c>
      <c r="F486" s="26">
        <f>$B$36</f>
        <v>0.3</v>
      </c>
      <c r="G486" s="25">
        <v>0</v>
      </c>
      <c r="H486" s="25">
        <v>0</v>
      </c>
      <c r="I486" s="25">
        <v>0</v>
      </c>
      <c r="J486" s="10"/>
    </row>
    <row r="487" spans="1:10">
      <c r="A487" s="11" t="s">
        <v>65</v>
      </c>
      <c r="B487" s="9"/>
      <c r="C487" s="25">
        <v>0</v>
      </c>
      <c r="D487" s="25">
        <v>0</v>
      </c>
      <c r="E487" s="25">
        <v>0</v>
      </c>
      <c r="F487" s="25">
        <v>0</v>
      </c>
      <c r="G487" s="25">
        <v>1</v>
      </c>
      <c r="H487" s="25">
        <v>0</v>
      </c>
      <c r="I487" s="25">
        <v>0</v>
      </c>
      <c r="J487" s="10"/>
    </row>
    <row r="488" spans="1:10">
      <c r="A488" s="11" t="s">
        <v>66</v>
      </c>
      <c r="B488" s="9"/>
      <c r="C488" s="25">
        <v>0</v>
      </c>
      <c r="D488" s="25">
        <v>0</v>
      </c>
      <c r="E488" s="25">
        <v>0</v>
      </c>
      <c r="F488" s="25">
        <v>0</v>
      </c>
      <c r="G488" s="25">
        <v>0</v>
      </c>
      <c r="H488" s="25">
        <v>1</v>
      </c>
      <c r="I488" s="25">
        <v>0</v>
      </c>
      <c r="J488" s="10"/>
    </row>
    <row r="489" spans="1:10">
      <c r="A489" s="11" t="s">
        <v>67</v>
      </c>
      <c r="B489" s="9"/>
      <c r="C489" s="25">
        <v>0</v>
      </c>
      <c r="D489" s="25">
        <v>0</v>
      </c>
      <c r="E489" s="25">
        <v>0</v>
      </c>
      <c r="F489" s="25">
        <v>0</v>
      </c>
      <c r="G489" s="25">
        <v>0</v>
      </c>
      <c r="H489" s="25">
        <v>0</v>
      </c>
      <c r="I489" s="25">
        <v>1</v>
      </c>
      <c r="J489" s="10"/>
    </row>
    <row r="491" spans="1:10" ht="21" customHeight="1">
      <c r="A491" s="1" t="s">
        <v>288</v>
      </c>
    </row>
    <row r="492" spans="1:10">
      <c r="A492" s="2" t="s">
        <v>255</v>
      </c>
    </row>
    <row r="493" spans="1:10">
      <c r="A493" s="12" t="s">
        <v>289</v>
      </c>
    </row>
    <row r="494" spans="1:10">
      <c r="A494" s="12" t="s">
        <v>290</v>
      </c>
    </row>
    <row r="495" spans="1:10">
      <c r="A495" s="2" t="s">
        <v>268</v>
      </c>
    </row>
    <row r="497" spans="1:11">
      <c r="B497" s="3" t="s">
        <v>60</v>
      </c>
      <c r="C497" s="3" t="s">
        <v>61</v>
      </c>
      <c r="D497" s="3" t="s">
        <v>62</v>
      </c>
      <c r="E497" s="3" t="s">
        <v>63</v>
      </c>
      <c r="F497" s="3" t="s">
        <v>64</v>
      </c>
      <c r="G497" s="3" t="s">
        <v>69</v>
      </c>
      <c r="H497" s="3" t="s">
        <v>65</v>
      </c>
      <c r="I497" s="3" t="s">
        <v>66</v>
      </c>
      <c r="J497" s="3" t="s">
        <v>67</v>
      </c>
    </row>
    <row r="498" spans="1:11">
      <c r="A498" s="11" t="s">
        <v>92</v>
      </c>
      <c r="B498" s="6">
        <f t="shared" ref="B498:B524" si="2">SUMPRODUCT($B418:$I418,$B$481:$I$481)</f>
        <v>1</v>
      </c>
      <c r="C498" s="6">
        <f t="shared" ref="C498:C524" si="3">SUMPRODUCT($B418:$I418,$B$482:$I$482)</f>
        <v>1</v>
      </c>
      <c r="D498" s="6">
        <f t="shared" ref="D498:D524" si="4">SUMPRODUCT($B418:$I418,$B$483:$I$483)</f>
        <v>0.7</v>
      </c>
      <c r="E498" s="6">
        <f t="shared" ref="E498:E524" si="5">SUMPRODUCT($B418:$I418,$B$484:$I$484)</f>
        <v>0.7</v>
      </c>
      <c r="F498" s="6">
        <f t="shared" ref="F498:F524" si="6">SUMPRODUCT($B418:$I418,$B$485:$I$485)</f>
        <v>0.7</v>
      </c>
      <c r="G498" s="6">
        <f t="shared" ref="G498:G524" si="7">SUMPRODUCT($B418:$I418,$B$486:$I$486)</f>
        <v>0.3</v>
      </c>
      <c r="H498" s="6">
        <f t="shared" ref="H498:H524" si="8">SUMPRODUCT($B418:$I418,$B$487:$I$487)</f>
        <v>1</v>
      </c>
      <c r="I498" s="6">
        <f t="shared" ref="I498:I524" si="9">SUMPRODUCT($B418:$I418,$B$488:$I$488)</f>
        <v>1</v>
      </c>
      <c r="J498" s="6">
        <f t="shared" ref="J498:J524" si="10">SUMPRODUCT($B418:$I418,$B$489:$I$489)</f>
        <v>1</v>
      </c>
      <c r="K498" s="10"/>
    </row>
    <row r="499" spans="1:11">
      <c r="A499" s="11" t="s">
        <v>93</v>
      </c>
      <c r="B499" s="6">
        <f t="shared" si="2"/>
        <v>1</v>
      </c>
      <c r="C499" s="6">
        <f t="shared" si="3"/>
        <v>1</v>
      </c>
      <c r="D499" s="6">
        <f t="shared" si="4"/>
        <v>0.7</v>
      </c>
      <c r="E499" s="6">
        <f t="shared" si="5"/>
        <v>0.7</v>
      </c>
      <c r="F499" s="6">
        <f t="shared" si="6"/>
        <v>0.7</v>
      </c>
      <c r="G499" s="6">
        <f t="shared" si="7"/>
        <v>0.3</v>
      </c>
      <c r="H499" s="6">
        <f t="shared" si="8"/>
        <v>1</v>
      </c>
      <c r="I499" s="6">
        <f t="shared" si="9"/>
        <v>1</v>
      </c>
      <c r="J499" s="6">
        <f t="shared" si="10"/>
        <v>1</v>
      </c>
      <c r="K499" s="10"/>
    </row>
    <row r="500" spans="1:11">
      <c r="A500" s="11" t="s">
        <v>129</v>
      </c>
      <c r="B500" s="6">
        <f t="shared" si="2"/>
        <v>1</v>
      </c>
      <c r="C500" s="6">
        <f t="shared" si="3"/>
        <v>1</v>
      </c>
      <c r="D500" s="6">
        <f t="shared" si="4"/>
        <v>0.7</v>
      </c>
      <c r="E500" s="6">
        <f t="shared" si="5"/>
        <v>0.7</v>
      </c>
      <c r="F500" s="6">
        <f t="shared" si="6"/>
        <v>0.7</v>
      </c>
      <c r="G500" s="6">
        <f t="shared" si="7"/>
        <v>0.3</v>
      </c>
      <c r="H500" s="6">
        <f t="shared" si="8"/>
        <v>1</v>
      </c>
      <c r="I500" s="6">
        <f t="shared" si="9"/>
        <v>1</v>
      </c>
      <c r="J500" s="6">
        <f t="shared" si="10"/>
        <v>1</v>
      </c>
      <c r="K500" s="10"/>
    </row>
    <row r="501" spans="1:11">
      <c r="A501" s="11" t="s">
        <v>94</v>
      </c>
      <c r="B501" s="6">
        <f t="shared" si="2"/>
        <v>1</v>
      </c>
      <c r="C501" s="6">
        <f t="shared" si="3"/>
        <v>1</v>
      </c>
      <c r="D501" s="6">
        <f t="shared" si="4"/>
        <v>0.7</v>
      </c>
      <c r="E501" s="6">
        <f t="shared" si="5"/>
        <v>0.7</v>
      </c>
      <c r="F501" s="6">
        <f t="shared" si="6"/>
        <v>0.7</v>
      </c>
      <c r="G501" s="6">
        <f t="shared" si="7"/>
        <v>0.3</v>
      </c>
      <c r="H501" s="6">
        <f t="shared" si="8"/>
        <v>1</v>
      </c>
      <c r="I501" s="6">
        <f t="shared" si="9"/>
        <v>1</v>
      </c>
      <c r="J501" s="6">
        <f t="shared" si="10"/>
        <v>1</v>
      </c>
      <c r="K501" s="10"/>
    </row>
    <row r="502" spans="1:11">
      <c r="A502" s="11" t="s">
        <v>95</v>
      </c>
      <c r="B502" s="6">
        <f t="shared" si="2"/>
        <v>1</v>
      </c>
      <c r="C502" s="6">
        <f t="shared" si="3"/>
        <v>1</v>
      </c>
      <c r="D502" s="6">
        <f t="shared" si="4"/>
        <v>0.7</v>
      </c>
      <c r="E502" s="6">
        <f t="shared" si="5"/>
        <v>0.7</v>
      </c>
      <c r="F502" s="6">
        <f t="shared" si="6"/>
        <v>0.7</v>
      </c>
      <c r="G502" s="6">
        <f t="shared" si="7"/>
        <v>0.3</v>
      </c>
      <c r="H502" s="6">
        <f t="shared" si="8"/>
        <v>1</v>
      </c>
      <c r="I502" s="6">
        <f t="shared" si="9"/>
        <v>1</v>
      </c>
      <c r="J502" s="6">
        <f t="shared" si="10"/>
        <v>1</v>
      </c>
      <c r="K502" s="10"/>
    </row>
    <row r="503" spans="1:11">
      <c r="A503" s="11" t="s">
        <v>130</v>
      </c>
      <c r="B503" s="6">
        <f t="shared" si="2"/>
        <v>1</v>
      </c>
      <c r="C503" s="6">
        <f t="shared" si="3"/>
        <v>1</v>
      </c>
      <c r="D503" s="6">
        <f t="shared" si="4"/>
        <v>0.7</v>
      </c>
      <c r="E503" s="6">
        <f t="shared" si="5"/>
        <v>0.7</v>
      </c>
      <c r="F503" s="6">
        <f t="shared" si="6"/>
        <v>0.7</v>
      </c>
      <c r="G503" s="6">
        <f t="shared" si="7"/>
        <v>0.3</v>
      </c>
      <c r="H503" s="6">
        <f t="shared" si="8"/>
        <v>1</v>
      </c>
      <c r="I503" s="6">
        <f t="shared" si="9"/>
        <v>1</v>
      </c>
      <c r="J503" s="6">
        <f t="shared" si="10"/>
        <v>1</v>
      </c>
      <c r="K503" s="10"/>
    </row>
    <row r="504" spans="1:11">
      <c r="A504" s="11" t="s">
        <v>96</v>
      </c>
      <c r="B504" s="6">
        <f t="shared" si="2"/>
        <v>1</v>
      </c>
      <c r="C504" s="6">
        <f t="shared" si="3"/>
        <v>1</v>
      </c>
      <c r="D504" s="6">
        <f t="shared" si="4"/>
        <v>0.7</v>
      </c>
      <c r="E504" s="6">
        <f t="shared" si="5"/>
        <v>0.7</v>
      </c>
      <c r="F504" s="6">
        <f t="shared" si="6"/>
        <v>0.7</v>
      </c>
      <c r="G504" s="6">
        <f t="shared" si="7"/>
        <v>0.3</v>
      </c>
      <c r="H504" s="6">
        <f t="shared" si="8"/>
        <v>1</v>
      </c>
      <c r="I504" s="6">
        <f t="shared" si="9"/>
        <v>1</v>
      </c>
      <c r="J504" s="6">
        <f t="shared" si="10"/>
        <v>1</v>
      </c>
      <c r="K504" s="10"/>
    </row>
    <row r="505" spans="1:11">
      <c r="A505" s="11" t="s">
        <v>97</v>
      </c>
      <c r="B505" s="6">
        <f t="shared" si="2"/>
        <v>1</v>
      </c>
      <c r="C505" s="6">
        <f t="shared" si="3"/>
        <v>1</v>
      </c>
      <c r="D505" s="6">
        <f t="shared" si="4"/>
        <v>0.7</v>
      </c>
      <c r="E505" s="6">
        <f t="shared" si="5"/>
        <v>0.7</v>
      </c>
      <c r="F505" s="6">
        <f t="shared" si="6"/>
        <v>0.7</v>
      </c>
      <c r="G505" s="6">
        <f t="shared" si="7"/>
        <v>0.3</v>
      </c>
      <c r="H505" s="6">
        <f t="shared" si="8"/>
        <v>1</v>
      </c>
      <c r="I505" s="6">
        <f t="shared" si="9"/>
        <v>1</v>
      </c>
      <c r="J505" s="6">
        <f t="shared" si="10"/>
        <v>0</v>
      </c>
      <c r="K505" s="10"/>
    </row>
    <row r="506" spans="1:11">
      <c r="A506" s="11" t="s">
        <v>110</v>
      </c>
      <c r="B506" s="6">
        <f t="shared" si="2"/>
        <v>1</v>
      </c>
      <c r="C506" s="6">
        <f t="shared" si="3"/>
        <v>1</v>
      </c>
      <c r="D506" s="6">
        <f t="shared" si="4"/>
        <v>0.7</v>
      </c>
      <c r="E506" s="6">
        <f t="shared" si="5"/>
        <v>0.7</v>
      </c>
      <c r="F506" s="6">
        <f t="shared" si="6"/>
        <v>0.7</v>
      </c>
      <c r="G506" s="6">
        <f t="shared" si="7"/>
        <v>0.3</v>
      </c>
      <c r="H506" s="6">
        <f t="shared" si="8"/>
        <v>1</v>
      </c>
      <c r="I506" s="6">
        <f t="shared" si="9"/>
        <v>0</v>
      </c>
      <c r="J506" s="6">
        <f t="shared" si="10"/>
        <v>0</v>
      </c>
      <c r="K506" s="10"/>
    </row>
    <row r="507" spans="1:11">
      <c r="A507" s="11" t="s">
        <v>1647</v>
      </c>
      <c r="B507" s="6">
        <f t="shared" si="2"/>
        <v>1</v>
      </c>
      <c r="C507" s="6">
        <f t="shared" si="3"/>
        <v>1</v>
      </c>
      <c r="D507" s="6">
        <f t="shared" si="4"/>
        <v>0.7</v>
      </c>
      <c r="E507" s="6">
        <f t="shared" si="5"/>
        <v>0.7</v>
      </c>
      <c r="F507" s="6">
        <f t="shared" si="6"/>
        <v>0.7</v>
      </c>
      <c r="G507" s="6">
        <f t="shared" si="7"/>
        <v>0.3</v>
      </c>
      <c r="H507" s="6">
        <f t="shared" si="8"/>
        <v>1</v>
      </c>
      <c r="I507" s="6">
        <f t="shared" si="9"/>
        <v>1</v>
      </c>
      <c r="J507" s="6">
        <f t="shared" si="10"/>
        <v>1</v>
      </c>
      <c r="K507" s="10"/>
    </row>
    <row r="508" spans="1:11">
      <c r="A508" s="11" t="s">
        <v>1646</v>
      </c>
      <c r="B508" s="6">
        <f t="shared" si="2"/>
        <v>1</v>
      </c>
      <c r="C508" s="6">
        <f t="shared" si="3"/>
        <v>1</v>
      </c>
      <c r="D508" s="6">
        <f t="shared" si="4"/>
        <v>0.7</v>
      </c>
      <c r="E508" s="6">
        <f t="shared" si="5"/>
        <v>0.7</v>
      </c>
      <c r="F508" s="6">
        <f t="shared" si="6"/>
        <v>0.7</v>
      </c>
      <c r="G508" s="6">
        <f t="shared" si="7"/>
        <v>0.3</v>
      </c>
      <c r="H508" s="6">
        <f t="shared" si="8"/>
        <v>1</v>
      </c>
      <c r="I508" s="6">
        <f t="shared" si="9"/>
        <v>1</v>
      </c>
      <c r="J508" s="6">
        <f t="shared" si="10"/>
        <v>1</v>
      </c>
      <c r="K508" s="10"/>
    </row>
    <row r="509" spans="1:11">
      <c r="A509" s="11" t="s">
        <v>98</v>
      </c>
      <c r="B509" s="6">
        <f t="shared" si="2"/>
        <v>1</v>
      </c>
      <c r="C509" s="6">
        <f t="shared" si="3"/>
        <v>1</v>
      </c>
      <c r="D509" s="6">
        <f t="shared" si="4"/>
        <v>0.7</v>
      </c>
      <c r="E509" s="6">
        <f t="shared" si="5"/>
        <v>0.7</v>
      </c>
      <c r="F509" s="6">
        <f t="shared" si="6"/>
        <v>0.7</v>
      </c>
      <c r="G509" s="6">
        <f t="shared" si="7"/>
        <v>0.3</v>
      </c>
      <c r="H509" s="6">
        <f t="shared" si="8"/>
        <v>1</v>
      </c>
      <c r="I509" s="6">
        <f t="shared" si="9"/>
        <v>1</v>
      </c>
      <c r="J509" s="6">
        <f t="shared" si="10"/>
        <v>1</v>
      </c>
      <c r="K509" s="10"/>
    </row>
    <row r="510" spans="1:11">
      <c r="A510" s="11" t="s">
        <v>99</v>
      </c>
      <c r="B510" s="6">
        <f t="shared" si="2"/>
        <v>1</v>
      </c>
      <c r="C510" s="6">
        <f t="shared" si="3"/>
        <v>1</v>
      </c>
      <c r="D510" s="6">
        <f t="shared" si="4"/>
        <v>0.7</v>
      </c>
      <c r="E510" s="6">
        <f t="shared" si="5"/>
        <v>0.7</v>
      </c>
      <c r="F510" s="6">
        <f t="shared" si="6"/>
        <v>0.7</v>
      </c>
      <c r="G510" s="6">
        <f t="shared" si="7"/>
        <v>0.3</v>
      </c>
      <c r="H510" s="6">
        <f t="shared" si="8"/>
        <v>1</v>
      </c>
      <c r="I510" s="6">
        <f t="shared" si="9"/>
        <v>1</v>
      </c>
      <c r="J510" s="6">
        <f t="shared" si="10"/>
        <v>0</v>
      </c>
      <c r="K510" s="10"/>
    </row>
    <row r="511" spans="1:11">
      <c r="A511" s="11" t="s">
        <v>111</v>
      </c>
      <c r="B511" s="6">
        <f t="shared" si="2"/>
        <v>1</v>
      </c>
      <c r="C511" s="6">
        <f t="shared" si="3"/>
        <v>1</v>
      </c>
      <c r="D511" s="6">
        <f t="shared" si="4"/>
        <v>0.7</v>
      </c>
      <c r="E511" s="6">
        <f t="shared" si="5"/>
        <v>0.7</v>
      </c>
      <c r="F511" s="6">
        <f t="shared" si="6"/>
        <v>0.7</v>
      </c>
      <c r="G511" s="6">
        <f t="shared" si="7"/>
        <v>0.3</v>
      </c>
      <c r="H511" s="6">
        <f t="shared" si="8"/>
        <v>1</v>
      </c>
      <c r="I511" s="6">
        <f t="shared" si="9"/>
        <v>0</v>
      </c>
      <c r="J511" s="6">
        <f t="shared" si="10"/>
        <v>0</v>
      </c>
      <c r="K511" s="10"/>
    </row>
    <row r="512" spans="1:11">
      <c r="A512" s="11" t="s">
        <v>131</v>
      </c>
      <c r="B512" s="6">
        <f t="shared" si="2"/>
        <v>1</v>
      </c>
      <c r="C512" s="6">
        <f t="shared" si="3"/>
        <v>1</v>
      </c>
      <c r="D512" s="6">
        <f t="shared" si="4"/>
        <v>0.7</v>
      </c>
      <c r="E512" s="6">
        <f t="shared" si="5"/>
        <v>0.7</v>
      </c>
      <c r="F512" s="6">
        <f t="shared" si="6"/>
        <v>0.7</v>
      </c>
      <c r="G512" s="6">
        <f t="shared" si="7"/>
        <v>0.3</v>
      </c>
      <c r="H512" s="6">
        <f t="shared" si="8"/>
        <v>1</v>
      </c>
      <c r="I512" s="6">
        <f t="shared" si="9"/>
        <v>1</v>
      </c>
      <c r="J512" s="6">
        <f t="shared" si="10"/>
        <v>1</v>
      </c>
      <c r="K512" s="10"/>
    </row>
    <row r="513" spans="1:11">
      <c r="A513" s="11" t="s">
        <v>132</v>
      </c>
      <c r="B513" s="6">
        <f t="shared" si="2"/>
        <v>1</v>
      </c>
      <c r="C513" s="6">
        <f t="shared" si="3"/>
        <v>1</v>
      </c>
      <c r="D513" s="6">
        <f t="shared" si="4"/>
        <v>0.7</v>
      </c>
      <c r="E513" s="6">
        <f t="shared" si="5"/>
        <v>0.7</v>
      </c>
      <c r="F513" s="6">
        <f t="shared" si="6"/>
        <v>0.7</v>
      </c>
      <c r="G513" s="6">
        <f t="shared" si="7"/>
        <v>0.3</v>
      </c>
      <c r="H513" s="6">
        <f t="shared" si="8"/>
        <v>1</v>
      </c>
      <c r="I513" s="6">
        <f t="shared" si="9"/>
        <v>1</v>
      </c>
      <c r="J513" s="6">
        <f t="shared" si="10"/>
        <v>1</v>
      </c>
      <c r="K513" s="10"/>
    </row>
    <row r="514" spans="1:11">
      <c r="A514" s="11" t="s">
        <v>133</v>
      </c>
      <c r="B514" s="6">
        <f t="shared" si="2"/>
        <v>1</v>
      </c>
      <c r="C514" s="6">
        <f t="shared" si="3"/>
        <v>1</v>
      </c>
      <c r="D514" s="6">
        <f t="shared" si="4"/>
        <v>0.7</v>
      </c>
      <c r="E514" s="6">
        <f t="shared" si="5"/>
        <v>0.7</v>
      </c>
      <c r="F514" s="6">
        <f t="shared" si="6"/>
        <v>0.7</v>
      </c>
      <c r="G514" s="6">
        <f t="shared" si="7"/>
        <v>0.3</v>
      </c>
      <c r="H514" s="6">
        <f t="shared" si="8"/>
        <v>1</v>
      </c>
      <c r="I514" s="6">
        <f t="shared" si="9"/>
        <v>1</v>
      </c>
      <c r="J514" s="6">
        <f t="shared" si="10"/>
        <v>1</v>
      </c>
      <c r="K514" s="10"/>
    </row>
    <row r="515" spans="1:11">
      <c r="A515" s="11" t="s">
        <v>134</v>
      </c>
      <c r="B515" s="6">
        <f t="shared" si="2"/>
        <v>1</v>
      </c>
      <c r="C515" s="6">
        <f t="shared" si="3"/>
        <v>1</v>
      </c>
      <c r="D515" s="6">
        <f t="shared" si="4"/>
        <v>0.7</v>
      </c>
      <c r="E515" s="6">
        <f t="shared" si="5"/>
        <v>0.7</v>
      </c>
      <c r="F515" s="6">
        <f t="shared" si="6"/>
        <v>0.7</v>
      </c>
      <c r="G515" s="6">
        <f t="shared" si="7"/>
        <v>0.3</v>
      </c>
      <c r="H515" s="6">
        <f t="shared" si="8"/>
        <v>1</v>
      </c>
      <c r="I515" s="6">
        <f t="shared" si="9"/>
        <v>1</v>
      </c>
      <c r="J515" s="6">
        <f t="shared" si="10"/>
        <v>1</v>
      </c>
      <c r="K515" s="10"/>
    </row>
    <row r="516" spans="1:11">
      <c r="A516" s="11" t="s">
        <v>135</v>
      </c>
      <c r="B516" s="6">
        <f t="shared" si="2"/>
        <v>1</v>
      </c>
      <c r="C516" s="6">
        <f t="shared" si="3"/>
        <v>1</v>
      </c>
      <c r="D516" s="6">
        <f t="shared" si="4"/>
        <v>0.7</v>
      </c>
      <c r="E516" s="6">
        <f t="shared" si="5"/>
        <v>0.7</v>
      </c>
      <c r="F516" s="6">
        <f t="shared" si="6"/>
        <v>0.7</v>
      </c>
      <c r="G516" s="6">
        <f t="shared" si="7"/>
        <v>0.3</v>
      </c>
      <c r="H516" s="6">
        <f t="shared" si="8"/>
        <v>1</v>
      </c>
      <c r="I516" s="6">
        <f t="shared" si="9"/>
        <v>1</v>
      </c>
      <c r="J516" s="6">
        <f t="shared" si="10"/>
        <v>1</v>
      </c>
      <c r="K516" s="10"/>
    </row>
    <row r="517" spans="1:11">
      <c r="A517" s="11" t="s">
        <v>1645</v>
      </c>
      <c r="B517" s="6">
        <f t="shared" si="2"/>
        <v>1</v>
      </c>
      <c r="C517" s="6">
        <f t="shared" si="3"/>
        <v>1</v>
      </c>
      <c r="D517" s="6">
        <f t="shared" si="4"/>
        <v>0.7</v>
      </c>
      <c r="E517" s="6">
        <f t="shared" si="5"/>
        <v>0.7</v>
      </c>
      <c r="F517" s="6">
        <f t="shared" si="6"/>
        <v>0.7</v>
      </c>
      <c r="G517" s="6">
        <f t="shared" si="7"/>
        <v>0.3</v>
      </c>
      <c r="H517" s="6">
        <f t="shared" si="8"/>
        <v>1</v>
      </c>
      <c r="I517" s="6">
        <f t="shared" si="9"/>
        <v>1</v>
      </c>
      <c r="J517" s="6">
        <f t="shared" si="10"/>
        <v>0</v>
      </c>
      <c r="K517" s="10"/>
    </row>
    <row r="518" spans="1:11">
      <c r="A518" s="11" t="s">
        <v>100</v>
      </c>
      <c r="B518" s="6">
        <f t="shared" si="2"/>
        <v>1</v>
      </c>
      <c r="C518" s="6">
        <f t="shared" si="3"/>
        <v>1</v>
      </c>
      <c r="D518" s="6">
        <f t="shared" si="4"/>
        <v>0.7</v>
      </c>
      <c r="E518" s="6">
        <f t="shared" si="5"/>
        <v>0.7</v>
      </c>
      <c r="F518" s="6">
        <f t="shared" si="6"/>
        <v>0.7</v>
      </c>
      <c r="G518" s="6">
        <f t="shared" si="7"/>
        <v>0.3</v>
      </c>
      <c r="H518" s="6">
        <f t="shared" si="8"/>
        <v>1</v>
      </c>
      <c r="I518" s="6">
        <f t="shared" si="9"/>
        <v>0</v>
      </c>
      <c r="J518" s="6">
        <f t="shared" si="10"/>
        <v>0</v>
      </c>
      <c r="K518" s="10"/>
    </row>
    <row r="519" spans="1:11">
      <c r="A519" s="11" t="s">
        <v>101</v>
      </c>
      <c r="B519" s="6">
        <f t="shared" si="2"/>
        <v>1</v>
      </c>
      <c r="C519" s="6">
        <f t="shared" si="3"/>
        <v>1</v>
      </c>
      <c r="D519" s="6">
        <f t="shared" si="4"/>
        <v>0.7</v>
      </c>
      <c r="E519" s="6">
        <f t="shared" si="5"/>
        <v>0.7</v>
      </c>
      <c r="F519" s="6">
        <f t="shared" si="6"/>
        <v>0.7</v>
      </c>
      <c r="G519" s="6">
        <f t="shared" si="7"/>
        <v>0.3</v>
      </c>
      <c r="H519" s="6">
        <f t="shared" si="8"/>
        <v>1</v>
      </c>
      <c r="I519" s="6">
        <f t="shared" si="9"/>
        <v>1</v>
      </c>
      <c r="J519" s="6">
        <f t="shared" si="10"/>
        <v>0</v>
      </c>
      <c r="K519" s="10"/>
    </row>
    <row r="520" spans="1:11">
      <c r="A520" s="11" t="s">
        <v>102</v>
      </c>
      <c r="B520" s="6">
        <f t="shared" si="2"/>
        <v>1</v>
      </c>
      <c r="C520" s="6">
        <f t="shared" si="3"/>
        <v>1</v>
      </c>
      <c r="D520" s="6">
        <f t="shared" si="4"/>
        <v>0.7</v>
      </c>
      <c r="E520" s="6">
        <f t="shared" si="5"/>
        <v>0.7</v>
      </c>
      <c r="F520" s="6">
        <f t="shared" si="6"/>
        <v>0.7</v>
      </c>
      <c r="G520" s="6">
        <f t="shared" si="7"/>
        <v>0.3</v>
      </c>
      <c r="H520" s="6">
        <f t="shared" si="8"/>
        <v>1</v>
      </c>
      <c r="I520" s="6">
        <f t="shared" si="9"/>
        <v>1</v>
      </c>
      <c r="J520" s="6">
        <f t="shared" si="10"/>
        <v>0</v>
      </c>
      <c r="K520" s="10"/>
    </row>
    <row r="521" spans="1:11">
      <c r="A521" s="11" t="s">
        <v>103</v>
      </c>
      <c r="B521" s="6">
        <f t="shared" si="2"/>
        <v>1</v>
      </c>
      <c r="C521" s="6">
        <f t="shared" si="3"/>
        <v>1</v>
      </c>
      <c r="D521" s="6">
        <f t="shared" si="4"/>
        <v>0.7</v>
      </c>
      <c r="E521" s="6">
        <f t="shared" si="5"/>
        <v>0.7</v>
      </c>
      <c r="F521" s="6">
        <f t="shared" si="6"/>
        <v>0.7</v>
      </c>
      <c r="G521" s="6">
        <f t="shared" si="7"/>
        <v>0.3</v>
      </c>
      <c r="H521" s="6">
        <f t="shared" si="8"/>
        <v>1</v>
      </c>
      <c r="I521" s="6">
        <f t="shared" si="9"/>
        <v>0</v>
      </c>
      <c r="J521" s="6">
        <f t="shared" si="10"/>
        <v>0</v>
      </c>
      <c r="K521" s="10"/>
    </row>
    <row r="522" spans="1:11">
      <c r="A522" s="11" t="s">
        <v>104</v>
      </c>
      <c r="B522" s="6">
        <f t="shared" si="2"/>
        <v>1</v>
      </c>
      <c r="C522" s="6">
        <f t="shared" si="3"/>
        <v>1</v>
      </c>
      <c r="D522" s="6">
        <f t="shared" si="4"/>
        <v>0.7</v>
      </c>
      <c r="E522" s="6">
        <f t="shared" si="5"/>
        <v>0.7</v>
      </c>
      <c r="F522" s="6">
        <f t="shared" si="6"/>
        <v>0.7</v>
      </c>
      <c r="G522" s="6">
        <f t="shared" si="7"/>
        <v>0.3</v>
      </c>
      <c r="H522" s="6">
        <f t="shared" si="8"/>
        <v>1</v>
      </c>
      <c r="I522" s="6">
        <f t="shared" si="9"/>
        <v>0</v>
      </c>
      <c r="J522" s="6">
        <f t="shared" si="10"/>
        <v>0</v>
      </c>
      <c r="K522" s="10"/>
    </row>
    <row r="523" spans="1:11">
      <c r="A523" s="11" t="s">
        <v>112</v>
      </c>
      <c r="B523" s="6">
        <f t="shared" si="2"/>
        <v>1</v>
      </c>
      <c r="C523" s="6">
        <f t="shared" si="3"/>
        <v>1</v>
      </c>
      <c r="D523" s="6">
        <f t="shared" si="4"/>
        <v>0.7</v>
      </c>
      <c r="E523" s="6">
        <f t="shared" si="5"/>
        <v>0.7</v>
      </c>
      <c r="F523" s="6">
        <f t="shared" si="6"/>
        <v>0.7</v>
      </c>
      <c r="G523" s="6">
        <f t="shared" si="7"/>
        <v>0.3</v>
      </c>
      <c r="H523" s="6">
        <f t="shared" si="8"/>
        <v>0</v>
      </c>
      <c r="I523" s="6">
        <f t="shared" si="9"/>
        <v>0</v>
      </c>
      <c r="J523" s="6">
        <f t="shared" si="10"/>
        <v>0</v>
      </c>
      <c r="K523" s="10"/>
    </row>
    <row r="524" spans="1:11">
      <c r="A524" s="11" t="s">
        <v>113</v>
      </c>
      <c r="B524" s="6">
        <f t="shared" si="2"/>
        <v>1</v>
      </c>
      <c r="C524" s="6">
        <f t="shared" si="3"/>
        <v>1</v>
      </c>
      <c r="D524" s="6">
        <f t="shared" si="4"/>
        <v>0.7</v>
      </c>
      <c r="E524" s="6">
        <f t="shared" si="5"/>
        <v>0.7</v>
      </c>
      <c r="F524" s="6">
        <f t="shared" si="6"/>
        <v>0.7</v>
      </c>
      <c r="G524" s="6">
        <f t="shared" si="7"/>
        <v>0.3</v>
      </c>
      <c r="H524" s="6">
        <f t="shared" si="8"/>
        <v>0</v>
      </c>
      <c r="I524" s="6">
        <f t="shared" si="9"/>
        <v>0</v>
      </c>
      <c r="J524" s="6">
        <f t="shared" si="10"/>
        <v>0</v>
      </c>
      <c r="K524" s="10"/>
    </row>
    <row r="526" spans="1:11" ht="21" customHeight="1">
      <c r="A526" s="1" t="s">
        <v>291</v>
      </c>
    </row>
    <row r="527" spans="1:11">
      <c r="A527" s="2" t="s">
        <v>255</v>
      </c>
    </row>
    <row r="528" spans="1:11">
      <c r="A528" s="2" t="s">
        <v>292</v>
      </c>
    </row>
    <row r="529" spans="1:11">
      <c r="A529" s="2" t="s">
        <v>293</v>
      </c>
    </row>
    <row r="530" spans="1:11">
      <c r="A530" s="12" t="s">
        <v>294</v>
      </c>
    </row>
    <row r="531" spans="1:11">
      <c r="A531" s="2" t="s">
        <v>295</v>
      </c>
    </row>
    <row r="533" spans="1:11">
      <c r="B533" s="3" t="s">
        <v>60</v>
      </c>
      <c r="C533" s="3" t="s">
        <v>61</v>
      </c>
      <c r="D533" s="3" t="s">
        <v>62</v>
      </c>
      <c r="E533" s="3" t="s">
        <v>63</v>
      </c>
      <c r="F533" s="3" t="s">
        <v>64</v>
      </c>
      <c r="G533" s="3" t="s">
        <v>69</v>
      </c>
      <c r="H533" s="3" t="s">
        <v>65</v>
      </c>
      <c r="I533" s="3" t="s">
        <v>66</v>
      </c>
      <c r="J533" s="3" t="s">
        <v>67</v>
      </c>
    </row>
    <row r="534" spans="1:11">
      <c r="A534" s="11" t="s">
        <v>92</v>
      </c>
      <c r="B534" s="7">
        <f t="shared" ref="B534:J534" si="11">B498</f>
        <v>1</v>
      </c>
      <c r="C534" s="7">
        <f t="shared" si="11"/>
        <v>1</v>
      </c>
      <c r="D534" s="7">
        <f t="shared" si="11"/>
        <v>0.7</v>
      </c>
      <c r="E534" s="7">
        <f t="shared" si="11"/>
        <v>0.7</v>
      </c>
      <c r="F534" s="7">
        <f t="shared" si="11"/>
        <v>0.7</v>
      </c>
      <c r="G534" s="7">
        <f t="shared" si="11"/>
        <v>0.3</v>
      </c>
      <c r="H534" s="7">
        <f t="shared" si="11"/>
        <v>1</v>
      </c>
      <c r="I534" s="7">
        <f t="shared" si="11"/>
        <v>1</v>
      </c>
      <c r="J534" s="7">
        <f t="shared" si="11"/>
        <v>1</v>
      </c>
      <c r="K534" s="10"/>
    </row>
    <row r="535" spans="1:11">
      <c r="A535" s="11" t="s">
        <v>93</v>
      </c>
      <c r="B535" s="7">
        <f t="shared" ref="B535:J535" si="12">B499</f>
        <v>1</v>
      </c>
      <c r="C535" s="7">
        <f t="shared" si="12"/>
        <v>1</v>
      </c>
      <c r="D535" s="7">
        <f t="shared" si="12"/>
        <v>0.7</v>
      </c>
      <c r="E535" s="7">
        <f t="shared" si="12"/>
        <v>0.7</v>
      </c>
      <c r="F535" s="7">
        <f t="shared" si="12"/>
        <v>0.7</v>
      </c>
      <c r="G535" s="7">
        <f t="shared" si="12"/>
        <v>0.3</v>
      </c>
      <c r="H535" s="7">
        <f t="shared" si="12"/>
        <v>1</v>
      </c>
      <c r="I535" s="7">
        <f t="shared" si="12"/>
        <v>1</v>
      </c>
      <c r="J535" s="7">
        <f t="shared" si="12"/>
        <v>1</v>
      </c>
      <c r="K535" s="10"/>
    </row>
    <row r="536" spans="1:11">
      <c r="A536" s="11" t="s">
        <v>129</v>
      </c>
      <c r="B536" s="7">
        <f t="shared" ref="B536:J536" si="13">B500</f>
        <v>1</v>
      </c>
      <c r="C536" s="7">
        <f t="shared" si="13"/>
        <v>1</v>
      </c>
      <c r="D536" s="7">
        <f t="shared" si="13"/>
        <v>0.7</v>
      </c>
      <c r="E536" s="7">
        <f t="shared" si="13"/>
        <v>0.7</v>
      </c>
      <c r="F536" s="7">
        <f t="shared" si="13"/>
        <v>0.7</v>
      </c>
      <c r="G536" s="7">
        <f t="shared" si="13"/>
        <v>0.3</v>
      </c>
      <c r="H536" s="7">
        <f t="shared" si="13"/>
        <v>1</v>
      </c>
      <c r="I536" s="7">
        <f t="shared" si="13"/>
        <v>1</v>
      </c>
      <c r="J536" s="7">
        <f t="shared" si="13"/>
        <v>1</v>
      </c>
      <c r="K536" s="10"/>
    </row>
    <row r="537" spans="1:11">
      <c r="A537" s="11" t="s">
        <v>94</v>
      </c>
      <c r="B537" s="7">
        <f t="shared" ref="B537:J537" si="14">B501</f>
        <v>1</v>
      </c>
      <c r="C537" s="7">
        <f t="shared" si="14"/>
        <v>1</v>
      </c>
      <c r="D537" s="7">
        <f t="shared" si="14"/>
        <v>0.7</v>
      </c>
      <c r="E537" s="7">
        <f t="shared" si="14"/>
        <v>0.7</v>
      </c>
      <c r="F537" s="7">
        <f t="shared" si="14"/>
        <v>0.7</v>
      </c>
      <c r="G537" s="7">
        <f t="shared" si="14"/>
        <v>0.3</v>
      </c>
      <c r="H537" s="7">
        <f t="shared" si="14"/>
        <v>1</v>
      </c>
      <c r="I537" s="7">
        <f t="shared" si="14"/>
        <v>1</v>
      </c>
      <c r="J537" s="7">
        <f t="shared" si="14"/>
        <v>1</v>
      </c>
      <c r="K537" s="10"/>
    </row>
    <row r="538" spans="1:11">
      <c r="A538" s="11" t="s">
        <v>95</v>
      </c>
      <c r="B538" s="7">
        <f t="shared" ref="B538:J538" si="15">B502</f>
        <v>1</v>
      </c>
      <c r="C538" s="7">
        <f t="shared" si="15"/>
        <v>1</v>
      </c>
      <c r="D538" s="7">
        <f t="shared" si="15"/>
        <v>0.7</v>
      </c>
      <c r="E538" s="7">
        <f t="shared" si="15"/>
        <v>0.7</v>
      </c>
      <c r="F538" s="7">
        <f t="shared" si="15"/>
        <v>0.7</v>
      </c>
      <c r="G538" s="7">
        <f t="shared" si="15"/>
        <v>0.3</v>
      </c>
      <c r="H538" s="7">
        <f t="shared" si="15"/>
        <v>1</v>
      </c>
      <c r="I538" s="7">
        <f t="shared" si="15"/>
        <v>1</v>
      </c>
      <c r="J538" s="7">
        <f t="shared" si="15"/>
        <v>1</v>
      </c>
      <c r="K538" s="10"/>
    </row>
    <row r="539" spans="1:11">
      <c r="A539" s="11" t="s">
        <v>130</v>
      </c>
      <c r="B539" s="7">
        <f t="shared" ref="B539:J539" si="16">B503</f>
        <v>1</v>
      </c>
      <c r="C539" s="7">
        <f t="shared" si="16"/>
        <v>1</v>
      </c>
      <c r="D539" s="7">
        <f t="shared" si="16"/>
        <v>0.7</v>
      </c>
      <c r="E539" s="7">
        <f t="shared" si="16"/>
        <v>0.7</v>
      </c>
      <c r="F539" s="7">
        <f t="shared" si="16"/>
        <v>0.7</v>
      </c>
      <c r="G539" s="7">
        <f t="shared" si="16"/>
        <v>0.3</v>
      </c>
      <c r="H539" s="7">
        <f t="shared" si="16"/>
        <v>1</v>
      </c>
      <c r="I539" s="7">
        <f t="shared" si="16"/>
        <v>1</v>
      </c>
      <c r="J539" s="7">
        <f t="shared" si="16"/>
        <v>1</v>
      </c>
      <c r="K539" s="10"/>
    </row>
    <row r="540" spans="1:11">
      <c r="A540" s="11" t="s">
        <v>96</v>
      </c>
      <c r="B540" s="7">
        <f t="shared" ref="B540:J540" si="17">B504</f>
        <v>1</v>
      </c>
      <c r="C540" s="7">
        <f t="shared" si="17"/>
        <v>1</v>
      </c>
      <c r="D540" s="7">
        <f t="shared" si="17"/>
        <v>0.7</v>
      </c>
      <c r="E540" s="7">
        <f t="shared" si="17"/>
        <v>0.7</v>
      </c>
      <c r="F540" s="7">
        <f t="shared" si="17"/>
        <v>0.7</v>
      </c>
      <c r="G540" s="7">
        <f t="shared" si="17"/>
        <v>0.3</v>
      </c>
      <c r="H540" s="7">
        <f t="shared" si="17"/>
        <v>1</v>
      </c>
      <c r="I540" s="7">
        <f t="shared" si="17"/>
        <v>1</v>
      </c>
      <c r="J540" s="7">
        <f t="shared" si="17"/>
        <v>1</v>
      </c>
      <c r="K540" s="10"/>
    </row>
    <row r="541" spans="1:11">
      <c r="A541" s="11" t="s">
        <v>97</v>
      </c>
      <c r="B541" s="7">
        <f t="shared" ref="B541:J541" si="18">B505</f>
        <v>1</v>
      </c>
      <c r="C541" s="7">
        <f t="shared" si="18"/>
        <v>1</v>
      </c>
      <c r="D541" s="7">
        <f t="shared" si="18"/>
        <v>0.7</v>
      </c>
      <c r="E541" s="7">
        <f t="shared" si="18"/>
        <v>0.7</v>
      </c>
      <c r="F541" s="7">
        <f t="shared" si="18"/>
        <v>0.7</v>
      </c>
      <c r="G541" s="7">
        <f t="shared" si="18"/>
        <v>0.3</v>
      </c>
      <c r="H541" s="7">
        <f t="shared" si="18"/>
        <v>1</v>
      </c>
      <c r="I541" s="7">
        <f t="shared" si="18"/>
        <v>1</v>
      </c>
      <c r="J541" s="7">
        <f t="shared" si="18"/>
        <v>0</v>
      </c>
      <c r="K541" s="10"/>
    </row>
    <row r="542" spans="1:11">
      <c r="A542" s="11" t="s">
        <v>110</v>
      </c>
      <c r="B542" s="7">
        <f t="shared" ref="B542:J542" si="19">B506</f>
        <v>1</v>
      </c>
      <c r="C542" s="7">
        <f t="shared" si="19"/>
        <v>1</v>
      </c>
      <c r="D542" s="7">
        <f t="shared" si="19"/>
        <v>0.7</v>
      </c>
      <c r="E542" s="7">
        <f t="shared" si="19"/>
        <v>0.7</v>
      </c>
      <c r="F542" s="7">
        <f t="shared" si="19"/>
        <v>0.7</v>
      </c>
      <c r="G542" s="7">
        <f t="shared" si="19"/>
        <v>0.3</v>
      </c>
      <c r="H542" s="7">
        <f t="shared" si="19"/>
        <v>1</v>
      </c>
      <c r="I542" s="7">
        <f t="shared" si="19"/>
        <v>0</v>
      </c>
      <c r="J542" s="7">
        <f t="shared" si="19"/>
        <v>0</v>
      </c>
      <c r="K542" s="10"/>
    </row>
    <row r="543" spans="1:11">
      <c r="A543" s="11" t="s">
        <v>1647</v>
      </c>
      <c r="B543" s="7">
        <f t="shared" ref="B543:J543" si="20">B507</f>
        <v>1</v>
      </c>
      <c r="C543" s="7">
        <f t="shared" si="20"/>
        <v>1</v>
      </c>
      <c r="D543" s="7">
        <f t="shared" si="20"/>
        <v>0.7</v>
      </c>
      <c r="E543" s="7">
        <f t="shared" si="20"/>
        <v>0.7</v>
      </c>
      <c r="F543" s="7">
        <f t="shared" si="20"/>
        <v>0.7</v>
      </c>
      <c r="G543" s="7">
        <f t="shared" si="20"/>
        <v>0.3</v>
      </c>
      <c r="H543" s="7">
        <f t="shared" si="20"/>
        <v>1</v>
      </c>
      <c r="I543" s="7">
        <f t="shared" si="20"/>
        <v>1</v>
      </c>
      <c r="J543" s="7">
        <f t="shared" si="20"/>
        <v>1</v>
      </c>
      <c r="K543" s="10"/>
    </row>
    <row r="544" spans="1:11">
      <c r="A544" s="11" t="s">
        <v>1646</v>
      </c>
      <c r="B544" s="7">
        <f t="shared" ref="B544:J544" si="21">B508</f>
        <v>1</v>
      </c>
      <c r="C544" s="7">
        <f t="shared" si="21"/>
        <v>1</v>
      </c>
      <c r="D544" s="7">
        <f t="shared" si="21"/>
        <v>0.7</v>
      </c>
      <c r="E544" s="7">
        <f t="shared" si="21"/>
        <v>0.7</v>
      </c>
      <c r="F544" s="7">
        <f t="shared" si="21"/>
        <v>0.7</v>
      </c>
      <c r="G544" s="7">
        <f t="shared" si="21"/>
        <v>0.3</v>
      </c>
      <c r="H544" s="7">
        <f t="shared" si="21"/>
        <v>1</v>
      </c>
      <c r="I544" s="7">
        <f t="shared" si="21"/>
        <v>1</v>
      </c>
      <c r="J544" s="7">
        <f t="shared" si="21"/>
        <v>1</v>
      </c>
      <c r="K544" s="10"/>
    </row>
    <row r="545" spans="1:11">
      <c r="A545" s="11" t="s">
        <v>98</v>
      </c>
      <c r="B545" s="7">
        <f t="shared" ref="B545:J545" si="22">B509</f>
        <v>1</v>
      </c>
      <c r="C545" s="7">
        <f t="shared" si="22"/>
        <v>1</v>
      </c>
      <c r="D545" s="7">
        <f t="shared" si="22"/>
        <v>0.7</v>
      </c>
      <c r="E545" s="7">
        <f t="shared" si="22"/>
        <v>0.7</v>
      </c>
      <c r="F545" s="7">
        <f t="shared" si="22"/>
        <v>0.7</v>
      </c>
      <c r="G545" s="7">
        <f t="shared" si="22"/>
        <v>0.3</v>
      </c>
      <c r="H545" s="7">
        <f t="shared" si="22"/>
        <v>1</v>
      </c>
      <c r="I545" s="7">
        <f t="shared" si="22"/>
        <v>1</v>
      </c>
      <c r="J545" s="7">
        <f t="shared" si="22"/>
        <v>1</v>
      </c>
      <c r="K545" s="10"/>
    </row>
    <row r="546" spans="1:11">
      <c r="A546" s="11" t="s">
        <v>99</v>
      </c>
      <c r="B546" s="7">
        <f t="shared" ref="B546:J546" si="23">B510</f>
        <v>1</v>
      </c>
      <c r="C546" s="7">
        <f t="shared" si="23"/>
        <v>1</v>
      </c>
      <c r="D546" s="7">
        <f t="shared" si="23"/>
        <v>0.7</v>
      </c>
      <c r="E546" s="7">
        <f t="shared" si="23"/>
        <v>0.7</v>
      </c>
      <c r="F546" s="7">
        <f t="shared" si="23"/>
        <v>0.7</v>
      </c>
      <c r="G546" s="7">
        <f t="shared" si="23"/>
        <v>0.3</v>
      </c>
      <c r="H546" s="7">
        <f t="shared" si="23"/>
        <v>1</v>
      </c>
      <c r="I546" s="7">
        <f t="shared" si="23"/>
        <v>1</v>
      </c>
      <c r="J546" s="7">
        <f t="shared" si="23"/>
        <v>0</v>
      </c>
      <c r="K546" s="10"/>
    </row>
    <row r="547" spans="1:11">
      <c r="A547" s="11" t="s">
        <v>111</v>
      </c>
      <c r="B547" s="7">
        <f t="shared" ref="B547:J547" si="24">B511</f>
        <v>1</v>
      </c>
      <c r="C547" s="7">
        <f t="shared" si="24"/>
        <v>1</v>
      </c>
      <c r="D547" s="7">
        <f t="shared" si="24"/>
        <v>0.7</v>
      </c>
      <c r="E547" s="7">
        <f t="shared" si="24"/>
        <v>0.7</v>
      </c>
      <c r="F547" s="7">
        <f t="shared" si="24"/>
        <v>0.7</v>
      </c>
      <c r="G547" s="7">
        <f t="shared" si="24"/>
        <v>0.3</v>
      </c>
      <c r="H547" s="7">
        <f t="shared" si="24"/>
        <v>1</v>
      </c>
      <c r="I547" s="7">
        <f t="shared" si="24"/>
        <v>0</v>
      </c>
      <c r="J547" s="7">
        <f t="shared" si="24"/>
        <v>0</v>
      </c>
      <c r="K547" s="10"/>
    </row>
    <row r="548" spans="1:11">
      <c r="A548" s="11" t="s">
        <v>131</v>
      </c>
      <c r="B548" s="7">
        <f t="shared" ref="B548:J548" si="25">B512</f>
        <v>1</v>
      </c>
      <c r="C548" s="7">
        <f t="shared" si="25"/>
        <v>1</v>
      </c>
      <c r="D548" s="7">
        <f t="shared" si="25"/>
        <v>0.7</v>
      </c>
      <c r="E548" s="7">
        <f t="shared" si="25"/>
        <v>0.7</v>
      </c>
      <c r="F548" s="7">
        <f t="shared" si="25"/>
        <v>0.7</v>
      </c>
      <c r="G548" s="7">
        <f t="shared" si="25"/>
        <v>0.3</v>
      </c>
      <c r="H548" s="7">
        <f t="shared" si="25"/>
        <v>1</v>
      </c>
      <c r="I548" s="7">
        <f t="shared" si="25"/>
        <v>1</v>
      </c>
      <c r="J548" s="7">
        <f t="shared" si="25"/>
        <v>1</v>
      </c>
      <c r="K548" s="10"/>
    </row>
    <row r="549" spans="1:11">
      <c r="A549" s="11" t="s">
        <v>132</v>
      </c>
      <c r="B549" s="7">
        <f t="shared" ref="B549:J549" si="26">B513</f>
        <v>1</v>
      </c>
      <c r="C549" s="7">
        <f t="shared" si="26"/>
        <v>1</v>
      </c>
      <c r="D549" s="7">
        <f t="shared" si="26"/>
        <v>0.7</v>
      </c>
      <c r="E549" s="7">
        <f t="shared" si="26"/>
        <v>0.7</v>
      </c>
      <c r="F549" s="7">
        <f t="shared" si="26"/>
        <v>0.7</v>
      </c>
      <c r="G549" s="7">
        <f t="shared" si="26"/>
        <v>0.3</v>
      </c>
      <c r="H549" s="7">
        <f t="shared" si="26"/>
        <v>1</v>
      </c>
      <c r="I549" s="7">
        <f t="shared" si="26"/>
        <v>1</v>
      </c>
      <c r="J549" s="7">
        <f t="shared" si="26"/>
        <v>1</v>
      </c>
      <c r="K549" s="10"/>
    </row>
    <row r="550" spans="1:11">
      <c r="A550" s="11" t="s">
        <v>133</v>
      </c>
      <c r="B550" s="7">
        <f t="shared" ref="B550:J550" si="27">B514</f>
        <v>1</v>
      </c>
      <c r="C550" s="7">
        <f t="shared" si="27"/>
        <v>1</v>
      </c>
      <c r="D550" s="7">
        <f t="shared" si="27"/>
        <v>0.7</v>
      </c>
      <c r="E550" s="7">
        <f t="shared" si="27"/>
        <v>0.7</v>
      </c>
      <c r="F550" s="7">
        <f t="shared" si="27"/>
        <v>0.7</v>
      </c>
      <c r="G550" s="7">
        <f t="shared" si="27"/>
        <v>0.3</v>
      </c>
      <c r="H550" s="7">
        <f t="shared" si="27"/>
        <v>1</v>
      </c>
      <c r="I550" s="7">
        <f t="shared" si="27"/>
        <v>1</v>
      </c>
      <c r="J550" s="7">
        <f t="shared" si="27"/>
        <v>1</v>
      </c>
      <c r="K550" s="10"/>
    </row>
    <row r="551" spans="1:11">
      <c r="A551" s="11" t="s">
        <v>134</v>
      </c>
      <c r="B551" s="7">
        <f t="shared" ref="B551:J551" si="28">B515</f>
        <v>1</v>
      </c>
      <c r="C551" s="7">
        <f t="shared" si="28"/>
        <v>1</v>
      </c>
      <c r="D551" s="7">
        <f t="shared" si="28"/>
        <v>0.7</v>
      </c>
      <c r="E551" s="7">
        <f t="shared" si="28"/>
        <v>0.7</v>
      </c>
      <c r="F551" s="7">
        <f t="shared" si="28"/>
        <v>0.7</v>
      </c>
      <c r="G551" s="7">
        <f t="shared" si="28"/>
        <v>0.3</v>
      </c>
      <c r="H551" s="7">
        <f t="shared" si="28"/>
        <v>1</v>
      </c>
      <c r="I551" s="7">
        <f t="shared" si="28"/>
        <v>1</v>
      </c>
      <c r="J551" s="7">
        <f t="shared" si="28"/>
        <v>1</v>
      </c>
      <c r="K551" s="10"/>
    </row>
    <row r="552" spans="1:11">
      <c r="A552" s="11" t="s">
        <v>135</v>
      </c>
      <c r="B552" s="7">
        <f t="shared" ref="B552:J552" si="29">B516</f>
        <v>1</v>
      </c>
      <c r="C552" s="7">
        <f t="shared" si="29"/>
        <v>1</v>
      </c>
      <c r="D552" s="7">
        <f t="shared" si="29"/>
        <v>0.7</v>
      </c>
      <c r="E552" s="7">
        <f t="shared" si="29"/>
        <v>0.7</v>
      </c>
      <c r="F552" s="7">
        <f t="shared" si="29"/>
        <v>0.7</v>
      </c>
      <c r="G552" s="7">
        <f t="shared" si="29"/>
        <v>0.3</v>
      </c>
      <c r="H552" s="7">
        <f t="shared" si="29"/>
        <v>1</v>
      </c>
      <c r="I552" s="7">
        <f t="shared" si="29"/>
        <v>1</v>
      </c>
      <c r="J552" s="7">
        <f t="shared" si="29"/>
        <v>1</v>
      </c>
      <c r="K552" s="10"/>
    </row>
    <row r="553" spans="1:11">
      <c r="A553" s="11" t="s">
        <v>1645</v>
      </c>
      <c r="B553" s="7">
        <f t="shared" ref="B553:J553" si="30">B517</f>
        <v>1</v>
      </c>
      <c r="C553" s="7">
        <f t="shared" si="30"/>
        <v>1</v>
      </c>
      <c r="D553" s="7">
        <f t="shared" si="30"/>
        <v>0.7</v>
      </c>
      <c r="E553" s="7">
        <f t="shared" si="30"/>
        <v>0.7</v>
      </c>
      <c r="F553" s="7">
        <f t="shared" si="30"/>
        <v>0.7</v>
      </c>
      <c r="G553" s="7">
        <f t="shared" si="30"/>
        <v>0.3</v>
      </c>
      <c r="H553" s="7">
        <f t="shared" si="30"/>
        <v>1</v>
      </c>
      <c r="I553" s="7">
        <f t="shared" si="30"/>
        <v>1</v>
      </c>
      <c r="J553" s="7">
        <f t="shared" si="30"/>
        <v>0</v>
      </c>
      <c r="K553" s="10"/>
    </row>
    <row r="554" spans="1:11">
      <c r="A554" s="11" t="s">
        <v>100</v>
      </c>
      <c r="B554" s="7">
        <f t="shared" ref="B554:J554" si="31">B518</f>
        <v>1</v>
      </c>
      <c r="C554" s="7">
        <f t="shared" si="31"/>
        <v>1</v>
      </c>
      <c r="D554" s="7">
        <f t="shared" si="31"/>
        <v>0.7</v>
      </c>
      <c r="E554" s="7">
        <f t="shared" si="31"/>
        <v>0.7</v>
      </c>
      <c r="F554" s="7">
        <f t="shared" si="31"/>
        <v>0.7</v>
      </c>
      <c r="G554" s="7">
        <f t="shared" si="31"/>
        <v>0.3</v>
      </c>
      <c r="H554" s="7">
        <f t="shared" si="31"/>
        <v>1</v>
      </c>
      <c r="I554" s="7">
        <f t="shared" si="31"/>
        <v>0</v>
      </c>
      <c r="J554" s="7">
        <f t="shared" si="31"/>
        <v>0</v>
      </c>
      <c r="K554" s="10"/>
    </row>
    <row r="555" spans="1:11">
      <c r="A555" s="11" t="s">
        <v>101</v>
      </c>
      <c r="B555" s="7">
        <f t="shared" ref="B555:J555" si="32">B519</f>
        <v>1</v>
      </c>
      <c r="C555" s="7">
        <f t="shared" si="32"/>
        <v>1</v>
      </c>
      <c r="D555" s="7">
        <f t="shared" si="32"/>
        <v>0.7</v>
      </c>
      <c r="E555" s="7">
        <f t="shared" si="32"/>
        <v>0.7</v>
      </c>
      <c r="F555" s="7">
        <f t="shared" si="32"/>
        <v>0.7</v>
      </c>
      <c r="G555" s="7">
        <f t="shared" si="32"/>
        <v>0.3</v>
      </c>
      <c r="H555" s="7">
        <f t="shared" si="32"/>
        <v>1</v>
      </c>
      <c r="I555" s="7">
        <f t="shared" si="32"/>
        <v>1</v>
      </c>
      <c r="J555" s="7">
        <f t="shared" si="32"/>
        <v>0</v>
      </c>
      <c r="K555" s="10"/>
    </row>
    <row r="556" spans="1:11">
      <c r="A556" s="11" t="s">
        <v>102</v>
      </c>
      <c r="B556" s="7">
        <f t="shared" ref="B556:J556" si="33">B520</f>
        <v>1</v>
      </c>
      <c r="C556" s="7">
        <f t="shared" si="33"/>
        <v>1</v>
      </c>
      <c r="D556" s="7">
        <f t="shared" si="33"/>
        <v>0.7</v>
      </c>
      <c r="E556" s="7">
        <f t="shared" si="33"/>
        <v>0.7</v>
      </c>
      <c r="F556" s="7">
        <f t="shared" si="33"/>
        <v>0.7</v>
      </c>
      <c r="G556" s="7">
        <f t="shared" si="33"/>
        <v>0.3</v>
      </c>
      <c r="H556" s="7">
        <f t="shared" si="33"/>
        <v>1</v>
      </c>
      <c r="I556" s="7">
        <f t="shared" si="33"/>
        <v>1</v>
      </c>
      <c r="J556" s="7">
        <f t="shared" si="33"/>
        <v>0</v>
      </c>
      <c r="K556" s="10"/>
    </row>
    <row r="557" spans="1:11">
      <c r="A557" s="11" t="s">
        <v>103</v>
      </c>
      <c r="B557" s="7">
        <f t="shared" ref="B557:J557" si="34">B521</f>
        <v>1</v>
      </c>
      <c r="C557" s="7">
        <f t="shared" si="34"/>
        <v>1</v>
      </c>
      <c r="D557" s="7">
        <f t="shared" si="34"/>
        <v>0.7</v>
      </c>
      <c r="E557" s="7">
        <f t="shared" si="34"/>
        <v>0.7</v>
      </c>
      <c r="F557" s="7">
        <f t="shared" si="34"/>
        <v>0.7</v>
      </c>
      <c r="G557" s="7">
        <f t="shared" si="34"/>
        <v>0.3</v>
      </c>
      <c r="H557" s="7">
        <f t="shared" si="34"/>
        <v>1</v>
      </c>
      <c r="I557" s="7">
        <f t="shared" si="34"/>
        <v>0</v>
      </c>
      <c r="J557" s="7">
        <f t="shared" si="34"/>
        <v>0</v>
      </c>
      <c r="K557" s="10"/>
    </row>
    <row r="558" spans="1:11">
      <c r="A558" s="11" t="s">
        <v>104</v>
      </c>
      <c r="B558" s="7">
        <f t="shared" ref="B558:J558" si="35">B522</f>
        <v>1</v>
      </c>
      <c r="C558" s="7">
        <f t="shared" si="35"/>
        <v>1</v>
      </c>
      <c r="D558" s="7">
        <f t="shared" si="35"/>
        <v>0.7</v>
      </c>
      <c r="E558" s="7">
        <f t="shared" si="35"/>
        <v>0.7</v>
      </c>
      <c r="F558" s="7">
        <f t="shared" si="35"/>
        <v>0.7</v>
      </c>
      <c r="G558" s="7">
        <f t="shared" si="35"/>
        <v>0.3</v>
      </c>
      <c r="H558" s="7">
        <f t="shared" si="35"/>
        <v>1</v>
      </c>
      <c r="I558" s="7">
        <f t="shared" si="35"/>
        <v>0</v>
      </c>
      <c r="J558" s="7">
        <f t="shared" si="35"/>
        <v>0</v>
      </c>
      <c r="K558" s="10"/>
    </row>
    <row r="559" spans="1:11">
      <c r="A559" s="11" t="s">
        <v>112</v>
      </c>
      <c r="B559" s="7">
        <f t="shared" ref="B559:J559" si="36">B523</f>
        <v>1</v>
      </c>
      <c r="C559" s="7">
        <f t="shared" si="36"/>
        <v>1</v>
      </c>
      <c r="D559" s="7">
        <f t="shared" si="36"/>
        <v>0.7</v>
      </c>
      <c r="E559" s="7">
        <f t="shared" si="36"/>
        <v>0.7</v>
      </c>
      <c r="F559" s="7">
        <f t="shared" si="36"/>
        <v>0.7</v>
      </c>
      <c r="G559" s="7">
        <f t="shared" si="36"/>
        <v>0.3</v>
      </c>
      <c r="H559" s="7">
        <f t="shared" si="36"/>
        <v>0</v>
      </c>
      <c r="I559" s="7">
        <f t="shared" si="36"/>
        <v>0</v>
      </c>
      <c r="J559" s="7">
        <f t="shared" si="36"/>
        <v>0</v>
      </c>
      <c r="K559" s="10"/>
    </row>
    <row r="560" spans="1:11">
      <c r="A560" s="11" t="s">
        <v>113</v>
      </c>
      <c r="B560" s="7">
        <f t="shared" ref="B560:J560" si="37">B524</f>
        <v>1</v>
      </c>
      <c r="C560" s="7">
        <f t="shared" si="37"/>
        <v>1</v>
      </c>
      <c r="D560" s="7">
        <f t="shared" si="37"/>
        <v>0.7</v>
      </c>
      <c r="E560" s="7">
        <f t="shared" si="37"/>
        <v>0.7</v>
      </c>
      <c r="F560" s="7">
        <f t="shared" si="37"/>
        <v>0.7</v>
      </c>
      <c r="G560" s="7">
        <f t="shared" si="37"/>
        <v>0.3</v>
      </c>
      <c r="H560" s="7">
        <f t="shared" si="37"/>
        <v>0</v>
      </c>
      <c r="I560" s="7">
        <f t="shared" si="37"/>
        <v>0</v>
      </c>
      <c r="J560" s="7">
        <f t="shared" si="37"/>
        <v>0</v>
      </c>
      <c r="K560" s="10"/>
    </row>
    <row r="562" spans="1:11" ht="21" customHeight="1">
      <c r="A562" s="1" t="s">
        <v>296</v>
      </c>
    </row>
    <row r="563" spans="1:11">
      <c r="A563" s="2" t="s">
        <v>255</v>
      </c>
    </row>
    <row r="564" spans="1:11">
      <c r="A564" s="12" t="s">
        <v>297</v>
      </c>
    </row>
    <row r="565" spans="1:11">
      <c r="A565" s="12" t="s">
        <v>298</v>
      </c>
    </row>
    <row r="566" spans="1:11">
      <c r="A566" s="12" t="s">
        <v>299</v>
      </c>
    </row>
    <row r="567" spans="1:11">
      <c r="A567" s="2" t="s">
        <v>300</v>
      </c>
    </row>
    <row r="569" spans="1:11">
      <c r="B569" s="3" t="s">
        <v>60</v>
      </c>
      <c r="C569" s="3" t="s">
        <v>61</v>
      </c>
      <c r="D569" s="3" t="s">
        <v>62</v>
      </c>
      <c r="E569" s="3" t="s">
        <v>63</v>
      </c>
      <c r="F569" s="3" t="s">
        <v>64</v>
      </c>
      <c r="G569" s="3" t="s">
        <v>69</v>
      </c>
      <c r="H569" s="3" t="s">
        <v>65</v>
      </c>
      <c r="I569" s="3" t="s">
        <v>66</v>
      </c>
      <c r="J569" s="3" t="s">
        <v>67</v>
      </c>
    </row>
    <row r="570" spans="1:11">
      <c r="A570" s="11" t="s">
        <v>92</v>
      </c>
      <c r="B570" s="6">
        <f t="shared" ref="B570:J570" si="38">IF(B$410="",B534,B534*$I347/B$410)</f>
        <v>1.085</v>
      </c>
      <c r="C570" s="6">
        <f t="shared" si="38"/>
        <v>1.0745766069129443</v>
      </c>
      <c r="D570" s="6">
        <f t="shared" si="38"/>
        <v>0.74886610136067833</v>
      </c>
      <c r="E570" s="6">
        <f t="shared" si="38"/>
        <v>0.73953261927945479</v>
      </c>
      <c r="F570" s="6">
        <f t="shared" si="38"/>
        <v>0.73388733210938251</v>
      </c>
      <c r="G570" s="6">
        <f t="shared" si="38"/>
        <v>0.31452314233259249</v>
      </c>
      <c r="H570" s="6">
        <f t="shared" si="38"/>
        <v>1.0393715873167928</v>
      </c>
      <c r="I570" s="6">
        <f t="shared" si="38"/>
        <v>1.0197368421052631</v>
      </c>
      <c r="J570" s="6">
        <f t="shared" si="38"/>
        <v>1</v>
      </c>
      <c r="K570" s="10"/>
    </row>
    <row r="571" spans="1:11">
      <c r="A571" s="11" t="s">
        <v>93</v>
      </c>
      <c r="B571" s="6">
        <f t="shared" ref="B571:J571" si="39">IF(B$410="",B535,B535*$I348/B$410)</f>
        <v>1.085</v>
      </c>
      <c r="C571" s="6">
        <f t="shared" si="39"/>
        <v>1.0745766069129443</v>
      </c>
      <c r="D571" s="6">
        <f t="shared" si="39"/>
        <v>0.74886610136067833</v>
      </c>
      <c r="E571" s="6">
        <f t="shared" si="39"/>
        <v>0.73953261927945479</v>
      </c>
      <c r="F571" s="6">
        <f t="shared" si="39"/>
        <v>0.73388733210938251</v>
      </c>
      <c r="G571" s="6">
        <f t="shared" si="39"/>
        <v>0.31452314233259249</v>
      </c>
      <c r="H571" s="6">
        <f t="shared" si="39"/>
        <v>1.0393715873167928</v>
      </c>
      <c r="I571" s="6">
        <f t="shared" si="39"/>
        <v>1.0197368421052631</v>
      </c>
      <c r="J571" s="6">
        <f t="shared" si="39"/>
        <v>1</v>
      </c>
      <c r="K571" s="10"/>
    </row>
    <row r="572" spans="1:11">
      <c r="A572" s="11" t="s">
        <v>129</v>
      </c>
      <c r="B572" s="6">
        <f t="shared" ref="B572:J572" si="40">IF(B$410="",B536,B536*$I349/B$410)</f>
        <v>1.085</v>
      </c>
      <c r="C572" s="6">
        <f t="shared" si="40"/>
        <v>1.0745766069129443</v>
      </c>
      <c r="D572" s="6">
        <f t="shared" si="40"/>
        <v>0.74886610136067833</v>
      </c>
      <c r="E572" s="6">
        <f t="shared" si="40"/>
        <v>0.73953261927945479</v>
      </c>
      <c r="F572" s="6">
        <f t="shared" si="40"/>
        <v>0.73388733210938251</v>
      </c>
      <c r="G572" s="6">
        <f t="shared" si="40"/>
        <v>0.31452314233259249</v>
      </c>
      <c r="H572" s="6">
        <f t="shared" si="40"/>
        <v>1.0393715873167928</v>
      </c>
      <c r="I572" s="6">
        <f t="shared" si="40"/>
        <v>1.0197368421052631</v>
      </c>
      <c r="J572" s="6">
        <f t="shared" si="40"/>
        <v>1</v>
      </c>
      <c r="K572" s="10"/>
    </row>
    <row r="573" spans="1:11">
      <c r="A573" s="11" t="s">
        <v>94</v>
      </c>
      <c r="B573" s="6">
        <f t="shared" ref="B573:J573" si="41">IF(B$410="",B537,B537*$I350/B$410)</f>
        <v>1.085</v>
      </c>
      <c r="C573" s="6">
        <f t="shared" si="41"/>
        <v>1.0745766069129443</v>
      </c>
      <c r="D573" s="6">
        <f t="shared" si="41"/>
        <v>0.74886610136067833</v>
      </c>
      <c r="E573" s="6">
        <f t="shared" si="41"/>
        <v>0.73953261927945479</v>
      </c>
      <c r="F573" s="6">
        <f t="shared" si="41"/>
        <v>0.73388733210938251</v>
      </c>
      <c r="G573" s="6">
        <f t="shared" si="41"/>
        <v>0.31452314233259249</v>
      </c>
      <c r="H573" s="6">
        <f t="shared" si="41"/>
        <v>1.0393715873167928</v>
      </c>
      <c r="I573" s="6">
        <f t="shared" si="41"/>
        <v>1.0197368421052631</v>
      </c>
      <c r="J573" s="6">
        <f t="shared" si="41"/>
        <v>1</v>
      </c>
      <c r="K573" s="10"/>
    </row>
    <row r="574" spans="1:11">
      <c r="A574" s="11" t="s">
        <v>95</v>
      </c>
      <c r="B574" s="6">
        <f t="shared" ref="B574:J574" si="42">IF(B$410="",B538,B538*$I351/B$410)</f>
        <v>1.085</v>
      </c>
      <c r="C574" s="6">
        <f t="shared" si="42"/>
        <v>1.0745766069129443</v>
      </c>
      <c r="D574" s="6">
        <f t="shared" si="42"/>
        <v>0.74886610136067833</v>
      </c>
      <c r="E574" s="6">
        <f t="shared" si="42"/>
        <v>0.73953261927945479</v>
      </c>
      <c r="F574" s="6">
        <f t="shared" si="42"/>
        <v>0.73388733210938251</v>
      </c>
      <c r="G574" s="6">
        <f t="shared" si="42"/>
        <v>0.31452314233259249</v>
      </c>
      <c r="H574" s="6">
        <f t="shared" si="42"/>
        <v>1.0393715873167928</v>
      </c>
      <c r="I574" s="6">
        <f t="shared" si="42"/>
        <v>1.0197368421052631</v>
      </c>
      <c r="J574" s="6">
        <f t="shared" si="42"/>
        <v>1</v>
      </c>
      <c r="K574" s="10"/>
    </row>
    <row r="575" spans="1:11">
      <c r="A575" s="11" t="s">
        <v>130</v>
      </c>
      <c r="B575" s="6">
        <f t="shared" ref="B575:J575" si="43">IF(B$410="",B539,B539*$I352/B$410)</f>
        <v>1.085</v>
      </c>
      <c r="C575" s="6">
        <f t="shared" si="43"/>
        <v>1.0745766069129443</v>
      </c>
      <c r="D575" s="6">
        <f t="shared" si="43"/>
        <v>0.74886610136067833</v>
      </c>
      <c r="E575" s="6">
        <f t="shared" si="43"/>
        <v>0.73953261927945479</v>
      </c>
      <c r="F575" s="6">
        <f t="shared" si="43"/>
        <v>0.73388733210938251</v>
      </c>
      <c r="G575" s="6">
        <f t="shared" si="43"/>
        <v>0.31452314233259249</v>
      </c>
      <c r="H575" s="6">
        <f t="shared" si="43"/>
        <v>1.0393715873167928</v>
      </c>
      <c r="I575" s="6">
        <f t="shared" si="43"/>
        <v>1.0197368421052631</v>
      </c>
      <c r="J575" s="6">
        <f t="shared" si="43"/>
        <v>1</v>
      </c>
      <c r="K575" s="10"/>
    </row>
    <row r="576" spans="1:11">
      <c r="A576" s="11" t="s">
        <v>96</v>
      </c>
      <c r="B576" s="6">
        <f t="shared" ref="B576:J576" si="44">IF(B$410="",B540,B540*$I353/B$410)</f>
        <v>1.085</v>
      </c>
      <c r="C576" s="6">
        <f t="shared" si="44"/>
        <v>1.0745766069129443</v>
      </c>
      <c r="D576" s="6">
        <f t="shared" si="44"/>
        <v>0.74886610136067833</v>
      </c>
      <c r="E576" s="6">
        <f t="shared" si="44"/>
        <v>0.73953261927945479</v>
      </c>
      <c r="F576" s="6">
        <f t="shared" si="44"/>
        <v>0.73388733210938251</v>
      </c>
      <c r="G576" s="6">
        <f t="shared" si="44"/>
        <v>0.31452314233259249</v>
      </c>
      <c r="H576" s="6">
        <f t="shared" si="44"/>
        <v>1.0393715873167928</v>
      </c>
      <c r="I576" s="6">
        <f t="shared" si="44"/>
        <v>1.0197368421052631</v>
      </c>
      <c r="J576" s="6">
        <f t="shared" si="44"/>
        <v>1</v>
      </c>
      <c r="K576" s="10"/>
    </row>
    <row r="577" spans="1:11">
      <c r="A577" s="11" t="s">
        <v>97</v>
      </c>
      <c r="B577" s="6">
        <f t="shared" ref="B577:J577" si="45">IF(B$410="",B541,B541*$I354/B$410)</f>
        <v>1.0640000000000001</v>
      </c>
      <c r="C577" s="6">
        <f t="shared" si="45"/>
        <v>1.053778350004952</v>
      </c>
      <c r="D577" s="6">
        <f t="shared" si="45"/>
        <v>0.73437191875369756</v>
      </c>
      <c r="E577" s="6">
        <f t="shared" si="45"/>
        <v>0.72521908471275565</v>
      </c>
      <c r="F577" s="6">
        <f t="shared" si="45"/>
        <v>0.7196830611653301</v>
      </c>
      <c r="G577" s="6">
        <f t="shared" si="45"/>
        <v>0.30843559764228429</v>
      </c>
      <c r="H577" s="6">
        <f t="shared" si="45"/>
        <v>1.0192547178848548</v>
      </c>
      <c r="I577" s="6">
        <f t="shared" si="45"/>
        <v>1</v>
      </c>
      <c r="J577" s="6">
        <f t="shared" si="45"/>
        <v>0</v>
      </c>
      <c r="K577" s="10"/>
    </row>
    <row r="578" spans="1:11">
      <c r="A578" s="11" t="s">
        <v>110</v>
      </c>
      <c r="B578" s="6">
        <f t="shared" ref="B578:J578" si="46">IF(B$410="",B542,B542*$I355/B$410)</f>
        <v>1.0439000000000001</v>
      </c>
      <c r="C578" s="6">
        <f t="shared" si="46"/>
        <v>1.033871446964445</v>
      </c>
      <c r="D578" s="6">
        <f t="shared" si="46"/>
        <v>0.72049891540130151</v>
      </c>
      <c r="E578" s="6">
        <f t="shared" si="46"/>
        <v>0.71151898734177221</v>
      </c>
      <c r="F578" s="6">
        <f t="shared" si="46"/>
        <v>0.70608754469030832</v>
      </c>
      <c r="G578" s="6">
        <f t="shared" si="46"/>
        <v>0.30260894772441782</v>
      </c>
      <c r="H578" s="6">
        <f t="shared" si="46"/>
        <v>1</v>
      </c>
      <c r="I578" s="6">
        <f t="shared" si="46"/>
        <v>0</v>
      </c>
      <c r="J578" s="6">
        <f t="shared" si="46"/>
        <v>0</v>
      </c>
      <c r="K578" s="10"/>
    </row>
    <row r="579" spans="1:11">
      <c r="A579" s="11" t="s">
        <v>1647</v>
      </c>
      <c r="B579" s="6">
        <f t="shared" ref="B579:J579" si="47">IF(B$410="",B543,B543*$I356/B$410)</f>
        <v>1.085</v>
      </c>
      <c r="C579" s="6">
        <f t="shared" si="47"/>
        <v>1.0745766069129443</v>
      </c>
      <c r="D579" s="6">
        <f t="shared" si="47"/>
        <v>0.74886610136067833</v>
      </c>
      <c r="E579" s="6">
        <f t="shared" si="47"/>
        <v>0.73953261927945479</v>
      </c>
      <c r="F579" s="6">
        <f t="shared" si="47"/>
        <v>0.73388733210938251</v>
      </c>
      <c r="G579" s="6">
        <f t="shared" si="47"/>
        <v>0.31452314233259249</v>
      </c>
      <c r="H579" s="6">
        <f t="shared" si="47"/>
        <v>1.0393715873167928</v>
      </c>
      <c r="I579" s="6">
        <f t="shared" si="47"/>
        <v>1.0197368421052631</v>
      </c>
      <c r="J579" s="6">
        <f t="shared" si="47"/>
        <v>1</v>
      </c>
      <c r="K579" s="10"/>
    </row>
    <row r="580" spans="1:11">
      <c r="A580" s="11" t="s">
        <v>1646</v>
      </c>
      <c r="B580" s="6">
        <f t="shared" ref="B580:J580" si="48">IF(B$410="",B544,B544*$I357/B$410)</f>
        <v>1.085</v>
      </c>
      <c r="C580" s="6">
        <f t="shared" si="48"/>
        <v>1.0745766069129443</v>
      </c>
      <c r="D580" s="6">
        <f t="shared" si="48"/>
        <v>0.74886610136067833</v>
      </c>
      <c r="E580" s="6">
        <f t="shared" si="48"/>
        <v>0.73953261927945479</v>
      </c>
      <c r="F580" s="6">
        <f t="shared" si="48"/>
        <v>0.73388733210938251</v>
      </c>
      <c r="G580" s="6">
        <f t="shared" si="48"/>
        <v>0.31452314233259249</v>
      </c>
      <c r="H580" s="6">
        <f t="shared" si="48"/>
        <v>1.0393715873167928</v>
      </c>
      <c r="I580" s="6">
        <f t="shared" si="48"/>
        <v>1.0197368421052631</v>
      </c>
      <c r="J580" s="6">
        <f t="shared" si="48"/>
        <v>1</v>
      </c>
      <c r="K580" s="10"/>
    </row>
    <row r="581" spans="1:11">
      <c r="A581" s="11" t="s">
        <v>98</v>
      </c>
      <c r="B581" s="6">
        <f t="shared" ref="B581:J581" si="49">IF(B$410="",B545,B545*$I358/B$410)</f>
        <v>1.085</v>
      </c>
      <c r="C581" s="6">
        <f t="shared" si="49"/>
        <v>1.0745766069129443</v>
      </c>
      <c r="D581" s="6">
        <f t="shared" si="49"/>
        <v>0.74886610136067833</v>
      </c>
      <c r="E581" s="6">
        <f t="shared" si="49"/>
        <v>0.73953261927945479</v>
      </c>
      <c r="F581" s="6">
        <f t="shared" si="49"/>
        <v>0.73388733210938251</v>
      </c>
      <c r="G581" s="6">
        <f t="shared" si="49"/>
        <v>0.31452314233259249</v>
      </c>
      <c r="H581" s="6">
        <f t="shared" si="49"/>
        <v>1.0393715873167928</v>
      </c>
      <c r="I581" s="6">
        <f t="shared" si="49"/>
        <v>1.0197368421052631</v>
      </c>
      <c r="J581" s="6">
        <f t="shared" si="49"/>
        <v>1</v>
      </c>
      <c r="K581" s="10"/>
    </row>
    <row r="582" spans="1:11">
      <c r="A582" s="11" t="s">
        <v>99</v>
      </c>
      <c r="B582" s="6">
        <f t="shared" ref="B582:J582" si="50">IF(B$410="",B546,B546*$I359/B$410)</f>
        <v>1.0640000000000001</v>
      </c>
      <c r="C582" s="6">
        <f t="shared" si="50"/>
        <v>1.053778350004952</v>
      </c>
      <c r="D582" s="6">
        <f t="shared" si="50"/>
        <v>0.73437191875369756</v>
      </c>
      <c r="E582" s="6">
        <f t="shared" si="50"/>
        <v>0.72521908471275565</v>
      </c>
      <c r="F582" s="6">
        <f t="shared" si="50"/>
        <v>0.7196830611653301</v>
      </c>
      <c r="G582" s="6">
        <f t="shared" si="50"/>
        <v>0.30843559764228429</v>
      </c>
      <c r="H582" s="6">
        <f t="shared" si="50"/>
        <v>1.0192547178848548</v>
      </c>
      <c r="I582" s="6">
        <f t="shared" si="50"/>
        <v>1</v>
      </c>
      <c r="J582" s="6">
        <f t="shared" si="50"/>
        <v>0</v>
      </c>
      <c r="K582" s="10"/>
    </row>
    <row r="583" spans="1:11">
      <c r="A583" s="11" t="s">
        <v>111</v>
      </c>
      <c r="B583" s="6">
        <f t="shared" ref="B583:J583" si="51">IF(B$410="",B547,B547*$I360/B$410)</f>
        <v>1.0439000000000001</v>
      </c>
      <c r="C583" s="6">
        <f t="shared" si="51"/>
        <v>1.033871446964445</v>
      </c>
      <c r="D583" s="6">
        <f t="shared" si="51"/>
        <v>0.72049891540130151</v>
      </c>
      <c r="E583" s="6">
        <f t="shared" si="51"/>
        <v>0.71151898734177221</v>
      </c>
      <c r="F583" s="6">
        <f t="shared" si="51"/>
        <v>0.70608754469030832</v>
      </c>
      <c r="G583" s="6">
        <f t="shared" si="51"/>
        <v>0.30260894772441782</v>
      </c>
      <c r="H583" s="6">
        <f t="shared" si="51"/>
        <v>1</v>
      </c>
      <c r="I583" s="6">
        <f t="shared" si="51"/>
        <v>0</v>
      </c>
      <c r="J583" s="6">
        <f t="shared" si="51"/>
        <v>0</v>
      </c>
      <c r="K583" s="10"/>
    </row>
    <row r="584" spans="1:11">
      <c r="A584" s="11" t="s">
        <v>131</v>
      </c>
      <c r="B584" s="6">
        <f t="shared" ref="B584:J584" si="52">IF(B$410="",B548,B548*$I361/B$410)</f>
        <v>1.085</v>
      </c>
      <c r="C584" s="6">
        <f t="shared" si="52"/>
        <v>1.0745766069129443</v>
      </c>
      <c r="D584" s="6">
        <f t="shared" si="52"/>
        <v>0.74886610136067833</v>
      </c>
      <c r="E584" s="6">
        <f t="shared" si="52"/>
        <v>0.73953261927945479</v>
      </c>
      <c r="F584" s="6">
        <f t="shared" si="52"/>
        <v>0.73388733210938251</v>
      </c>
      <c r="G584" s="6">
        <f t="shared" si="52"/>
        <v>0.31452314233259249</v>
      </c>
      <c r="H584" s="6">
        <f t="shared" si="52"/>
        <v>1.0393715873167928</v>
      </c>
      <c r="I584" s="6">
        <f t="shared" si="52"/>
        <v>1.0197368421052631</v>
      </c>
      <c r="J584" s="6">
        <f t="shared" si="52"/>
        <v>1</v>
      </c>
      <c r="K584" s="10"/>
    </row>
    <row r="585" spans="1:11">
      <c r="A585" s="11" t="s">
        <v>132</v>
      </c>
      <c r="B585" s="6">
        <f t="shared" ref="B585:J585" si="53">IF(B$410="",B549,B549*$I362/B$410)</f>
        <v>1.085</v>
      </c>
      <c r="C585" s="6">
        <f t="shared" si="53"/>
        <v>1.0745766069129443</v>
      </c>
      <c r="D585" s="6">
        <f t="shared" si="53"/>
        <v>0.74886610136067833</v>
      </c>
      <c r="E585" s="6">
        <f t="shared" si="53"/>
        <v>0.73953261927945479</v>
      </c>
      <c r="F585" s="6">
        <f t="shared" si="53"/>
        <v>0.73388733210938251</v>
      </c>
      <c r="G585" s="6">
        <f t="shared" si="53"/>
        <v>0.31452314233259249</v>
      </c>
      <c r="H585" s="6">
        <f t="shared" si="53"/>
        <v>1.0393715873167928</v>
      </c>
      <c r="I585" s="6">
        <f t="shared" si="53"/>
        <v>1.0197368421052631</v>
      </c>
      <c r="J585" s="6">
        <f t="shared" si="53"/>
        <v>1</v>
      </c>
      <c r="K585" s="10"/>
    </row>
    <row r="586" spans="1:11">
      <c r="A586" s="11" t="s">
        <v>133</v>
      </c>
      <c r="B586" s="6">
        <f t="shared" ref="B586:J586" si="54">IF(B$410="",B550,B550*$I363/B$410)</f>
        <v>1.085</v>
      </c>
      <c r="C586" s="6">
        <f t="shared" si="54"/>
        <v>1.0745766069129443</v>
      </c>
      <c r="D586" s="6">
        <f t="shared" si="54"/>
        <v>0.74886610136067833</v>
      </c>
      <c r="E586" s="6">
        <f t="shared" si="54"/>
        <v>0.73953261927945479</v>
      </c>
      <c r="F586" s="6">
        <f t="shared" si="54"/>
        <v>0.73388733210938251</v>
      </c>
      <c r="G586" s="6">
        <f t="shared" si="54"/>
        <v>0.31452314233259249</v>
      </c>
      <c r="H586" s="6">
        <f t="shared" si="54"/>
        <v>1.0393715873167928</v>
      </c>
      <c r="I586" s="6">
        <f t="shared" si="54"/>
        <v>1.0197368421052631</v>
      </c>
      <c r="J586" s="6">
        <f t="shared" si="54"/>
        <v>1</v>
      </c>
      <c r="K586" s="10"/>
    </row>
    <row r="587" spans="1:11">
      <c r="A587" s="11" t="s">
        <v>134</v>
      </c>
      <c r="B587" s="6">
        <f t="shared" ref="B587:J587" si="55">IF(B$410="",B551,B551*$I364/B$410)</f>
        <v>1.085</v>
      </c>
      <c r="C587" s="6">
        <f t="shared" si="55"/>
        <v>1.0745766069129443</v>
      </c>
      <c r="D587" s="6">
        <f t="shared" si="55"/>
        <v>0.74886610136067833</v>
      </c>
      <c r="E587" s="6">
        <f t="shared" si="55"/>
        <v>0.73953261927945479</v>
      </c>
      <c r="F587" s="6">
        <f t="shared" si="55"/>
        <v>0.73388733210938251</v>
      </c>
      <c r="G587" s="6">
        <f t="shared" si="55"/>
        <v>0.31452314233259249</v>
      </c>
      <c r="H587" s="6">
        <f t="shared" si="55"/>
        <v>1.0393715873167928</v>
      </c>
      <c r="I587" s="6">
        <f t="shared" si="55"/>
        <v>1.0197368421052631</v>
      </c>
      <c r="J587" s="6">
        <f t="shared" si="55"/>
        <v>1</v>
      </c>
      <c r="K587" s="10"/>
    </row>
    <row r="588" spans="1:11">
      <c r="A588" s="11" t="s">
        <v>135</v>
      </c>
      <c r="B588" s="6">
        <f t="shared" ref="B588:J588" si="56">IF(B$410="",B552,B552*$I365/B$410)</f>
        <v>1.085</v>
      </c>
      <c r="C588" s="6">
        <f t="shared" si="56"/>
        <v>1.0745766069129443</v>
      </c>
      <c r="D588" s="6">
        <f t="shared" si="56"/>
        <v>0.74886610136067833</v>
      </c>
      <c r="E588" s="6">
        <f t="shared" si="56"/>
        <v>0.73953261927945479</v>
      </c>
      <c r="F588" s="6">
        <f t="shared" si="56"/>
        <v>0.73388733210938251</v>
      </c>
      <c r="G588" s="6">
        <f t="shared" si="56"/>
        <v>0.31452314233259249</v>
      </c>
      <c r="H588" s="6">
        <f t="shared" si="56"/>
        <v>1.0393715873167928</v>
      </c>
      <c r="I588" s="6">
        <f t="shared" si="56"/>
        <v>1.0197368421052631</v>
      </c>
      <c r="J588" s="6">
        <f t="shared" si="56"/>
        <v>1</v>
      </c>
      <c r="K588" s="10"/>
    </row>
    <row r="589" spans="1:11">
      <c r="A589" s="11" t="s">
        <v>1645</v>
      </c>
      <c r="B589" s="6">
        <f t="shared" ref="B589:J589" si="57">IF(B$410="",B553,B553*$I366/B$410)</f>
        <v>1.085</v>
      </c>
      <c r="C589" s="6">
        <f t="shared" si="57"/>
        <v>1.0745766069129443</v>
      </c>
      <c r="D589" s="6">
        <f t="shared" si="57"/>
        <v>0.74886610136067833</v>
      </c>
      <c r="E589" s="6">
        <f t="shared" si="57"/>
        <v>0.73953261927945479</v>
      </c>
      <c r="F589" s="6">
        <f t="shared" si="57"/>
        <v>0.73388733210938251</v>
      </c>
      <c r="G589" s="6">
        <f t="shared" si="57"/>
        <v>0.31452314233259249</v>
      </c>
      <c r="H589" s="6">
        <f t="shared" si="57"/>
        <v>1.0393715873167928</v>
      </c>
      <c r="I589" s="6">
        <f t="shared" si="57"/>
        <v>1.0197368421052631</v>
      </c>
      <c r="J589" s="6">
        <f t="shared" si="57"/>
        <v>0</v>
      </c>
      <c r="K589" s="10"/>
    </row>
    <row r="590" spans="1:11">
      <c r="A590" s="11" t="s">
        <v>100</v>
      </c>
      <c r="B590" s="6">
        <f t="shared" ref="B590:J590" si="58">IF(B$410="",B554,B554*$I367/B$410)</f>
        <v>1.0640000000000001</v>
      </c>
      <c r="C590" s="6">
        <f t="shared" si="58"/>
        <v>1.053778350004952</v>
      </c>
      <c r="D590" s="6">
        <f t="shared" si="58"/>
        <v>0.73437191875369756</v>
      </c>
      <c r="E590" s="6">
        <f t="shared" si="58"/>
        <v>0.72521908471275565</v>
      </c>
      <c r="F590" s="6">
        <f t="shared" si="58"/>
        <v>0.7196830611653301</v>
      </c>
      <c r="G590" s="6">
        <f t="shared" si="58"/>
        <v>0.30843559764228429</v>
      </c>
      <c r="H590" s="6">
        <f t="shared" si="58"/>
        <v>1.0192547178848548</v>
      </c>
      <c r="I590" s="6">
        <f t="shared" si="58"/>
        <v>0</v>
      </c>
      <c r="J590" s="6">
        <f t="shared" si="58"/>
        <v>0</v>
      </c>
      <c r="K590" s="10"/>
    </row>
    <row r="591" spans="1:11">
      <c r="A591" s="11" t="s">
        <v>101</v>
      </c>
      <c r="B591" s="6">
        <f t="shared" ref="B591:J591" si="59">IF(B$410="",B555,B555*$I368/B$410)</f>
        <v>1.085</v>
      </c>
      <c r="C591" s="6">
        <f t="shared" si="59"/>
        <v>1.0745766069129443</v>
      </c>
      <c r="D591" s="6">
        <f t="shared" si="59"/>
        <v>0.74886610136067833</v>
      </c>
      <c r="E591" s="6">
        <f t="shared" si="59"/>
        <v>0.73953261927945479</v>
      </c>
      <c r="F591" s="6">
        <f t="shared" si="59"/>
        <v>0.73388733210938251</v>
      </c>
      <c r="G591" s="6">
        <f t="shared" si="59"/>
        <v>0.31452314233259249</v>
      </c>
      <c r="H591" s="6">
        <f t="shared" si="59"/>
        <v>1.0393715873167928</v>
      </c>
      <c r="I591" s="6">
        <f t="shared" si="59"/>
        <v>1.0197368421052631</v>
      </c>
      <c r="J591" s="6">
        <f t="shared" si="59"/>
        <v>0</v>
      </c>
      <c r="K591" s="10"/>
    </row>
    <row r="592" spans="1:11">
      <c r="A592" s="11" t="s">
        <v>102</v>
      </c>
      <c r="B592" s="6">
        <f t="shared" ref="B592:J592" si="60">IF(B$410="",B556,B556*$I369/B$410)</f>
        <v>1.085</v>
      </c>
      <c r="C592" s="6">
        <f t="shared" si="60"/>
        <v>1.0745766069129443</v>
      </c>
      <c r="D592" s="6">
        <f t="shared" si="60"/>
        <v>0.74886610136067833</v>
      </c>
      <c r="E592" s="6">
        <f t="shared" si="60"/>
        <v>0.73953261927945479</v>
      </c>
      <c r="F592" s="6">
        <f t="shared" si="60"/>
        <v>0.73388733210938251</v>
      </c>
      <c r="G592" s="6">
        <f t="shared" si="60"/>
        <v>0.31452314233259249</v>
      </c>
      <c r="H592" s="6">
        <f t="shared" si="60"/>
        <v>1.0393715873167928</v>
      </c>
      <c r="I592" s="6">
        <f t="shared" si="60"/>
        <v>1.0197368421052631</v>
      </c>
      <c r="J592" s="6">
        <f t="shared" si="60"/>
        <v>0</v>
      </c>
      <c r="K592" s="10"/>
    </row>
    <row r="593" spans="1:11">
      <c r="A593" s="11" t="s">
        <v>103</v>
      </c>
      <c r="B593" s="6">
        <f t="shared" ref="B593:J593" si="61">IF(B$410="",B557,B557*$I370/B$410)</f>
        <v>1.0640000000000001</v>
      </c>
      <c r="C593" s="6">
        <f t="shared" si="61"/>
        <v>1.053778350004952</v>
      </c>
      <c r="D593" s="6">
        <f t="shared" si="61"/>
        <v>0.73437191875369756</v>
      </c>
      <c r="E593" s="6">
        <f t="shared" si="61"/>
        <v>0.72521908471275565</v>
      </c>
      <c r="F593" s="6">
        <f t="shared" si="61"/>
        <v>0.7196830611653301</v>
      </c>
      <c r="G593" s="6">
        <f t="shared" si="61"/>
        <v>0.30843559764228429</v>
      </c>
      <c r="H593" s="6">
        <f t="shared" si="61"/>
        <v>1.0192547178848548</v>
      </c>
      <c r="I593" s="6">
        <f t="shared" si="61"/>
        <v>0</v>
      </c>
      <c r="J593" s="6">
        <f t="shared" si="61"/>
        <v>0</v>
      </c>
      <c r="K593" s="10"/>
    </row>
    <row r="594" spans="1:11">
      <c r="A594" s="11" t="s">
        <v>104</v>
      </c>
      <c r="B594" s="6">
        <f t="shared" ref="B594:J594" si="62">IF(B$410="",B558,B558*$I371/B$410)</f>
        <v>1.0640000000000001</v>
      </c>
      <c r="C594" s="6">
        <f t="shared" si="62"/>
        <v>1.053778350004952</v>
      </c>
      <c r="D594" s="6">
        <f t="shared" si="62"/>
        <v>0.73437191875369756</v>
      </c>
      <c r="E594" s="6">
        <f t="shared" si="62"/>
        <v>0.72521908471275565</v>
      </c>
      <c r="F594" s="6">
        <f t="shared" si="62"/>
        <v>0.7196830611653301</v>
      </c>
      <c r="G594" s="6">
        <f t="shared" si="62"/>
        <v>0.30843559764228429</v>
      </c>
      <c r="H594" s="6">
        <f t="shared" si="62"/>
        <v>1.0192547178848548</v>
      </c>
      <c r="I594" s="6">
        <f t="shared" si="62"/>
        <v>0</v>
      </c>
      <c r="J594" s="6">
        <f t="shared" si="62"/>
        <v>0</v>
      </c>
      <c r="K594" s="10"/>
    </row>
    <row r="595" spans="1:11">
      <c r="A595" s="11" t="s">
        <v>112</v>
      </c>
      <c r="B595" s="6">
        <f t="shared" ref="B595:J595" si="63">IF(B$410="",B559,B559*$I372/B$410)</f>
        <v>1.0439000000000001</v>
      </c>
      <c r="C595" s="6">
        <f t="shared" si="63"/>
        <v>1.033871446964445</v>
      </c>
      <c r="D595" s="6">
        <f t="shared" si="63"/>
        <v>0.72049891540130151</v>
      </c>
      <c r="E595" s="6">
        <f t="shared" si="63"/>
        <v>0.71151898734177221</v>
      </c>
      <c r="F595" s="6">
        <f t="shared" si="63"/>
        <v>0.70608754469030832</v>
      </c>
      <c r="G595" s="6">
        <f t="shared" si="63"/>
        <v>0.30260894772441782</v>
      </c>
      <c r="H595" s="6">
        <f t="shared" si="63"/>
        <v>0</v>
      </c>
      <c r="I595" s="6">
        <f t="shared" si="63"/>
        <v>0</v>
      </c>
      <c r="J595" s="6">
        <f t="shared" si="63"/>
        <v>0</v>
      </c>
      <c r="K595" s="10"/>
    </row>
    <row r="596" spans="1:11">
      <c r="A596" s="11" t="s">
        <v>113</v>
      </c>
      <c r="B596" s="6">
        <f t="shared" ref="B596:J596" si="64">IF(B$410="",B560,B560*$I373/B$410)</f>
        <v>1.0439000000000001</v>
      </c>
      <c r="C596" s="6">
        <f t="shared" si="64"/>
        <v>1.033871446964445</v>
      </c>
      <c r="D596" s="6">
        <f t="shared" si="64"/>
        <v>0.72049891540130151</v>
      </c>
      <c r="E596" s="6">
        <f t="shared" si="64"/>
        <v>0.71151898734177221</v>
      </c>
      <c r="F596" s="6">
        <f t="shared" si="64"/>
        <v>0.70608754469030832</v>
      </c>
      <c r="G596" s="6">
        <f t="shared" si="64"/>
        <v>0.30260894772441782</v>
      </c>
      <c r="H596" s="6">
        <f t="shared" si="64"/>
        <v>0</v>
      </c>
      <c r="I596" s="6">
        <f t="shared" si="64"/>
        <v>0</v>
      </c>
      <c r="J596" s="6">
        <f t="shared" si="64"/>
        <v>0</v>
      </c>
      <c r="K596" s="10"/>
    </row>
    <row r="598" spans="1:11" ht="21" customHeight="1">
      <c r="A598" s="1" t="str">
        <f>"Network model"&amp;" for "&amp;CDCM!B7&amp;" in "&amp;CDCM!C7&amp;" ("&amp;CDCM!D7&amp;")"</f>
        <v>Network model for 0 in 0 (0)</v>
      </c>
    </row>
    <row r="599" spans="1:11">
      <c r="A599" s="2" t="s">
        <v>301</v>
      </c>
    </row>
    <row r="601" spans="1:11" ht="21" customHeight="1">
      <c r="A601" s="1" t="s">
        <v>302</v>
      </c>
    </row>
    <row r="602" spans="1:11">
      <c r="A602" s="2" t="s">
        <v>255</v>
      </c>
    </row>
    <row r="603" spans="1:11">
      <c r="A603" s="12" t="s">
        <v>303</v>
      </c>
    </row>
    <row r="604" spans="1:11">
      <c r="A604" s="12" t="s">
        <v>304</v>
      </c>
    </row>
    <row r="605" spans="1:11">
      <c r="A605" s="12" t="s">
        <v>305</v>
      </c>
    </row>
    <row r="606" spans="1:11">
      <c r="A606" s="2" t="s">
        <v>306</v>
      </c>
    </row>
    <row r="608" spans="1:11">
      <c r="B608" s="3" t="s">
        <v>307</v>
      </c>
    </row>
    <row r="609" spans="1:10">
      <c r="A609" s="11" t="s">
        <v>307</v>
      </c>
      <c r="B609" s="24">
        <f>PMT(B14,C14,-1)*IF(OR(F14&gt;366,F14&lt;365),F14/365.25,1)</f>
        <v>6.3140920184093619E-2</v>
      </c>
      <c r="C609" s="10"/>
    </row>
    <row r="611" spans="1:10" ht="21" customHeight="1">
      <c r="A611" s="1" t="s">
        <v>308</v>
      </c>
    </row>
    <row r="612" spans="1:10">
      <c r="A612" s="2" t="s">
        <v>255</v>
      </c>
    </row>
    <row r="613" spans="1:10">
      <c r="A613" s="12" t="s">
        <v>309</v>
      </c>
    </row>
    <row r="614" spans="1:10">
      <c r="A614" s="2" t="s">
        <v>272</v>
      </c>
    </row>
    <row r="615" spans="1:10">
      <c r="A615" s="2" t="s">
        <v>273</v>
      </c>
    </row>
    <row r="617" spans="1:10">
      <c r="B617" s="3" t="s">
        <v>60</v>
      </c>
      <c r="C617" s="3" t="s">
        <v>61</v>
      </c>
      <c r="D617" s="3" t="s">
        <v>62</v>
      </c>
      <c r="E617" s="3" t="s">
        <v>63</v>
      </c>
      <c r="F617" s="3" t="s">
        <v>64</v>
      </c>
      <c r="G617" s="3" t="s">
        <v>65</v>
      </c>
      <c r="H617" s="3" t="s">
        <v>66</v>
      </c>
      <c r="I617" s="3" t="s">
        <v>67</v>
      </c>
    </row>
    <row r="618" spans="1:10" ht="30">
      <c r="A618" s="11" t="s">
        <v>310</v>
      </c>
      <c r="B618" s="5">
        <v>1</v>
      </c>
      <c r="C618" s="7">
        <f>$B104</f>
        <v>1.0097</v>
      </c>
      <c r="D618" s="7">
        <f>$C104</f>
        <v>1.0142</v>
      </c>
      <c r="E618" s="7">
        <f>$D104</f>
        <v>1.0269999999999999</v>
      </c>
      <c r="F618" s="7">
        <f>$E104</f>
        <v>1.0348999999999999</v>
      </c>
      <c r="G618" s="7">
        <f>$F104</f>
        <v>1.0439000000000001</v>
      </c>
      <c r="H618" s="7">
        <f>$G104</f>
        <v>1.0640000000000001</v>
      </c>
      <c r="I618" s="7">
        <f>$H104</f>
        <v>1.085</v>
      </c>
      <c r="J618" s="10"/>
    </row>
    <row r="620" spans="1:10" ht="21" customHeight="1">
      <c r="A620" s="1" t="s">
        <v>311</v>
      </c>
    </row>
    <row r="621" spans="1:10">
      <c r="A621" s="2" t="s">
        <v>255</v>
      </c>
    </row>
    <row r="622" spans="1:10">
      <c r="A622" s="12" t="s">
        <v>312</v>
      </c>
    </row>
    <row r="623" spans="1:10">
      <c r="A623" s="12" t="s">
        <v>313</v>
      </c>
    </row>
    <row r="624" spans="1:10">
      <c r="A624" s="21" t="s">
        <v>258</v>
      </c>
      <c r="B624" s="21" t="s">
        <v>314</v>
      </c>
      <c r="C624" s="21" t="s">
        <v>315</v>
      </c>
    </row>
    <row r="625" spans="1:4">
      <c r="A625" s="21" t="s">
        <v>261</v>
      </c>
      <c r="B625" s="21" t="s">
        <v>316</v>
      </c>
      <c r="C625" s="21" t="s">
        <v>317</v>
      </c>
    </row>
    <row r="627" spans="1:4" ht="45">
      <c r="B627" s="3" t="s">
        <v>318</v>
      </c>
      <c r="C627" s="3" t="s">
        <v>319</v>
      </c>
    </row>
    <row r="628" spans="1:4">
      <c r="A628" s="11" t="s">
        <v>60</v>
      </c>
      <c r="B628" s="6">
        <f>$B$618</f>
        <v>1</v>
      </c>
      <c r="C628" s="9"/>
      <c r="D628" s="10"/>
    </row>
    <row r="629" spans="1:4">
      <c r="A629" s="11" t="s">
        <v>61</v>
      </c>
      <c r="B629" s="6">
        <f>$C$618</f>
        <v>1.0097</v>
      </c>
      <c r="C629" s="6">
        <f t="shared" ref="C629:C635" si="65">B628</f>
        <v>1</v>
      </c>
      <c r="D629" s="10"/>
    </row>
    <row r="630" spans="1:4">
      <c r="A630" s="11" t="s">
        <v>62</v>
      </c>
      <c r="B630" s="6">
        <f>$D$618</f>
        <v>1.0142</v>
      </c>
      <c r="C630" s="6">
        <f t="shared" si="65"/>
        <v>1.0097</v>
      </c>
      <c r="D630" s="10"/>
    </row>
    <row r="631" spans="1:4">
      <c r="A631" s="11" t="s">
        <v>63</v>
      </c>
      <c r="B631" s="6">
        <f>$E$618</f>
        <v>1.0269999999999999</v>
      </c>
      <c r="C631" s="6">
        <f t="shared" si="65"/>
        <v>1.0142</v>
      </c>
      <c r="D631" s="10"/>
    </row>
    <row r="632" spans="1:4">
      <c r="A632" s="11" t="s">
        <v>64</v>
      </c>
      <c r="B632" s="6">
        <f>$F$618</f>
        <v>1.0348999999999999</v>
      </c>
      <c r="C632" s="6">
        <f t="shared" si="65"/>
        <v>1.0269999999999999</v>
      </c>
      <c r="D632" s="10"/>
    </row>
    <row r="633" spans="1:4">
      <c r="A633" s="11" t="s">
        <v>65</v>
      </c>
      <c r="B633" s="6">
        <f>$G$618</f>
        <v>1.0439000000000001</v>
      </c>
      <c r="C633" s="6">
        <f t="shared" si="65"/>
        <v>1.0348999999999999</v>
      </c>
      <c r="D633" s="10"/>
    </row>
    <row r="634" spans="1:4">
      <c r="A634" s="11" t="s">
        <v>66</v>
      </c>
      <c r="B634" s="6">
        <f>$H$618</f>
        <v>1.0640000000000001</v>
      </c>
      <c r="C634" s="6">
        <f t="shared" si="65"/>
        <v>1.0439000000000001</v>
      </c>
      <c r="D634" s="10"/>
    </row>
    <row r="635" spans="1:4">
      <c r="A635" s="11" t="s">
        <v>67</v>
      </c>
      <c r="B635" s="6">
        <f>$I$618</f>
        <v>1.085</v>
      </c>
      <c r="C635" s="6">
        <f t="shared" si="65"/>
        <v>1.0640000000000001</v>
      </c>
      <c r="D635" s="10"/>
    </row>
    <row r="637" spans="1:4" ht="21" customHeight="1">
      <c r="A637" s="1" t="s">
        <v>320</v>
      </c>
    </row>
    <row r="638" spans="1:4">
      <c r="A638" s="2" t="s">
        <v>255</v>
      </c>
    </row>
    <row r="639" spans="1:4">
      <c r="A639" s="12" t="s">
        <v>321</v>
      </c>
    </row>
    <row r="640" spans="1:4">
      <c r="A640" s="12" t="s">
        <v>322</v>
      </c>
    </row>
    <row r="641" spans="1:5">
      <c r="A641" s="21" t="s">
        <v>258</v>
      </c>
      <c r="B641" s="21" t="s">
        <v>323</v>
      </c>
      <c r="C641" s="21" t="s">
        <v>323</v>
      </c>
      <c r="D641" s="21" t="s">
        <v>323</v>
      </c>
    </row>
    <row r="642" spans="1:5">
      <c r="A642" s="21" t="s">
        <v>261</v>
      </c>
      <c r="B642" s="21" t="s">
        <v>324</v>
      </c>
      <c r="C642" s="21" t="s">
        <v>324</v>
      </c>
      <c r="D642" s="21" t="s">
        <v>325</v>
      </c>
    </row>
    <row r="644" spans="1:5" ht="30">
      <c r="B644" s="3" t="s">
        <v>326</v>
      </c>
      <c r="C644" s="3" t="s">
        <v>327</v>
      </c>
      <c r="D644" s="3" t="s">
        <v>328</v>
      </c>
    </row>
    <row r="645" spans="1:5">
      <c r="A645" s="11" t="s">
        <v>60</v>
      </c>
      <c r="B645" s="9"/>
      <c r="C645" s="24">
        <f>1/(1+B24)</f>
        <v>0.94000000000000006</v>
      </c>
      <c r="D645" s="24">
        <f t="shared" ref="D645:D651" si="66">1/C645-1</f>
        <v>6.3829787234042534E-2</v>
      </c>
      <c r="E645" s="10"/>
    </row>
    <row r="646" spans="1:5">
      <c r="A646" s="11" t="s">
        <v>61</v>
      </c>
      <c r="B646" s="24">
        <f>1/(1+B25)</f>
        <v>0.94966761633428309</v>
      </c>
      <c r="C646" s="24">
        <f t="shared" ref="C646:C652" si="67">C645/(1+B25)</f>
        <v>0.89268755935422617</v>
      </c>
      <c r="D646" s="24">
        <f t="shared" si="66"/>
        <v>0.12021276595744657</v>
      </c>
      <c r="E646" s="10"/>
    </row>
    <row r="647" spans="1:5">
      <c r="A647" s="11" t="s">
        <v>62</v>
      </c>
      <c r="B647" s="24">
        <f t="shared" ref="B647:B652" si="68">B646/(1+B26)</f>
        <v>0.94966761633428309</v>
      </c>
      <c r="C647" s="24">
        <f t="shared" si="67"/>
        <v>0.89268755935422617</v>
      </c>
      <c r="D647" s="24">
        <f t="shared" si="66"/>
        <v>0.12021276595744657</v>
      </c>
      <c r="E647" s="10"/>
    </row>
    <row r="648" spans="1:5">
      <c r="A648" s="11" t="s">
        <v>63</v>
      </c>
      <c r="B648" s="24">
        <f t="shared" si="68"/>
        <v>0.86411976008578995</v>
      </c>
      <c r="C648" s="24">
        <f t="shared" si="67"/>
        <v>0.81227257448064261</v>
      </c>
      <c r="D648" s="24">
        <f t="shared" si="66"/>
        <v>0.23111382978723372</v>
      </c>
      <c r="E648" s="10"/>
    </row>
    <row r="649" spans="1:5">
      <c r="A649" s="11" t="s">
        <v>64</v>
      </c>
      <c r="B649" s="24">
        <f t="shared" si="68"/>
        <v>0.86411976008578995</v>
      </c>
      <c r="C649" s="24">
        <f t="shared" si="67"/>
        <v>0.81227257448064261</v>
      </c>
      <c r="D649" s="24">
        <f t="shared" si="66"/>
        <v>0.23111382978723372</v>
      </c>
      <c r="E649" s="10"/>
    </row>
    <row r="650" spans="1:5">
      <c r="A650" s="11" t="s">
        <v>65</v>
      </c>
      <c r="B650" s="24">
        <f t="shared" si="68"/>
        <v>0.63074435042758381</v>
      </c>
      <c r="C650" s="24">
        <f t="shared" si="67"/>
        <v>0.59289968940192883</v>
      </c>
      <c r="D650" s="24">
        <f t="shared" si="66"/>
        <v>0.68662594680851052</v>
      </c>
      <c r="E650" s="10"/>
    </row>
    <row r="651" spans="1:5">
      <c r="A651" s="11" t="s">
        <v>66</v>
      </c>
      <c r="B651" s="24">
        <f t="shared" si="68"/>
        <v>0.63074435042758381</v>
      </c>
      <c r="C651" s="24">
        <f t="shared" si="67"/>
        <v>0.59289968940192883</v>
      </c>
      <c r="D651" s="24">
        <f t="shared" si="66"/>
        <v>0.68662594680851052</v>
      </c>
      <c r="E651" s="10"/>
    </row>
    <row r="652" spans="1:5">
      <c r="A652" s="11" t="s">
        <v>67</v>
      </c>
      <c r="B652" s="24">
        <f t="shared" si="68"/>
        <v>0.63074435042758381</v>
      </c>
      <c r="C652" s="24">
        <f t="shared" si="67"/>
        <v>0.59289968940192883</v>
      </c>
      <c r="D652" s="9"/>
      <c r="E652" s="10"/>
    </row>
    <row r="654" spans="1:5" ht="21" customHeight="1">
      <c r="A654" s="1" t="s">
        <v>329</v>
      </c>
    </row>
    <row r="655" spans="1:5">
      <c r="A655" s="2" t="s">
        <v>255</v>
      </c>
    </row>
    <row r="656" spans="1:5">
      <c r="A656" s="12" t="s">
        <v>330</v>
      </c>
    </row>
    <row r="657" spans="1:3">
      <c r="A657" s="12" t="s">
        <v>331</v>
      </c>
    </row>
    <row r="658" spans="1:3">
      <c r="A658" s="2" t="s">
        <v>332</v>
      </c>
    </row>
    <row r="660" spans="1:3" ht="45">
      <c r="B660" s="3" t="s">
        <v>333</v>
      </c>
    </row>
    <row r="661" spans="1:3">
      <c r="A661" s="11" t="s">
        <v>61</v>
      </c>
      <c r="B661" s="6">
        <f>B$41/B$646</f>
        <v>526.5</v>
      </c>
      <c r="C661" s="10"/>
    </row>
    <row r="662" spans="1:3">
      <c r="A662" s="11" t="s">
        <v>62</v>
      </c>
      <c r="B662" s="6">
        <f>B$41/B$647</f>
        <v>526.5</v>
      </c>
      <c r="C662" s="10"/>
    </row>
    <row r="663" spans="1:3">
      <c r="A663" s="11" t="s">
        <v>63</v>
      </c>
      <c r="B663" s="6">
        <f>B$41/B$648</f>
        <v>578.62349999999992</v>
      </c>
      <c r="C663" s="10"/>
    </row>
    <row r="664" spans="1:3">
      <c r="A664" s="11" t="s">
        <v>64</v>
      </c>
      <c r="B664" s="6">
        <f>B$41/B$649</f>
        <v>578.62349999999992</v>
      </c>
      <c r="C664" s="10"/>
    </row>
    <row r="665" spans="1:3">
      <c r="A665" s="11" t="s">
        <v>65</v>
      </c>
      <c r="B665" s="6">
        <f>B$41/B$650</f>
        <v>792.71419500000002</v>
      </c>
      <c r="C665" s="10"/>
    </row>
    <row r="666" spans="1:3">
      <c r="A666" s="11" t="s">
        <v>66</v>
      </c>
      <c r="B666" s="6">
        <f>B$41/B$651</f>
        <v>792.71419500000002</v>
      </c>
      <c r="C666" s="10"/>
    </row>
    <row r="667" spans="1:3">
      <c r="A667" s="11" t="s">
        <v>67</v>
      </c>
      <c r="B667" s="6">
        <f>B$41/B$652</f>
        <v>792.71419500000002</v>
      </c>
      <c r="C667" s="10"/>
    </row>
    <row r="669" spans="1:3" ht="21" customHeight="1">
      <c r="A669" s="1" t="s">
        <v>334</v>
      </c>
    </row>
    <row r="670" spans="1:3">
      <c r="A670" s="2" t="s">
        <v>255</v>
      </c>
    </row>
    <row r="671" spans="1:3">
      <c r="A671" s="12" t="s">
        <v>335</v>
      </c>
    </row>
    <row r="672" spans="1:3">
      <c r="A672" s="12" t="s">
        <v>336</v>
      </c>
    </row>
    <row r="673" spans="1:3">
      <c r="A673" s="12" t="s">
        <v>337</v>
      </c>
    </row>
    <row r="674" spans="1:3">
      <c r="A674" s="2" t="s">
        <v>338</v>
      </c>
    </row>
    <row r="676" spans="1:3" ht="60">
      <c r="B676" s="3" t="s">
        <v>339</v>
      </c>
    </row>
    <row r="677" spans="1:3">
      <c r="A677" s="11" t="s">
        <v>61</v>
      </c>
      <c r="B677" s="6">
        <f>B661*C$646/B$629</f>
        <v>465.4847974645935</v>
      </c>
      <c r="C677" s="10"/>
    </row>
    <row r="678" spans="1:3">
      <c r="A678" s="11" t="s">
        <v>62</v>
      </c>
      <c r="B678" s="6">
        <f>B662*C$647/B$630</f>
        <v>463.41944389666736</v>
      </c>
      <c r="C678" s="10"/>
    </row>
    <row r="679" spans="1:3">
      <c r="A679" s="11" t="s">
        <v>63</v>
      </c>
      <c r="B679" s="6">
        <f>B663*C$648/B$631</f>
        <v>457.64362220058433</v>
      </c>
      <c r="C679" s="10"/>
    </row>
    <row r="680" spans="1:3">
      <c r="A680" s="11" t="s">
        <v>64</v>
      </c>
      <c r="B680" s="6">
        <f>B664*C$649/B$632</f>
        <v>454.15015943569438</v>
      </c>
      <c r="C680" s="10"/>
    </row>
    <row r="681" spans="1:3">
      <c r="A681" s="11" t="s">
        <v>65</v>
      </c>
      <c r="B681" s="6">
        <f>B665*C$650/B$633</f>
        <v>450.23469681003928</v>
      </c>
      <c r="C681" s="10"/>
    </row>
    <row r="682" spans="1:3">
      <c r="A682" s="11" t="s">
        <v>66</v>
      </c>
      <c r="B682" s="6">
        <f>B666*C$651/B$634</f>
        <v>441.72932330827069</v>
      </c>
      <c r="C682" s="10"/>
    </row>
    <row r="683" spans="1:3">
      <c r="A683" s="11" t="s">
        <v>67</v>
      </c>
      <c r="B683" s="6">
        <f>B667*C$652/B$635</f>
        <v>433.17972350230423</v>
      </c>
      <c r="C683" s="10"/>
    </row>
    <row r="685" spans="1:3" ht="21" customHeight="1">
      <c r="A685" s="1" t="s">
        <v>340</v>
      </c>
    </row>
    <row r="686" spans="1:3">
      <c r="A686" s="2" t="s">
        <v>255</v>
      </c>
    </row>
    <row r="687" spans="1:3">
      <c r="A687" s="12" t="s">
        <v>277</v>
      </c>
    </row>
    <row r="688" spans="1:3">
      <c r="A688" s="12" t="s">
        <v>282</v>
      </c>
    </row>
    <row r="689" spans="1:10">
      <c r="A689" s="12" t="s">
        <v>283</v>
      </c>
    </row>
    <row r="690" spans="1:10">
      <c r="A690" s="12" t="s">
        <v>284</v>
      </c>
    </row>
    <row r="691" spans="1:10">
      <c r="A691" s="2" t="s">
        <v>285</v>
      </c>
    </row>
    <row r="692" spans="1:10">
      <c r="A692" s="2" t="s">
        <v>341</v>
      </c>
    </row>
    <row r="694" spans="1:10">
      <c r="B694" s="3" t="s">
        <v>61</v>
      </c>
      <c r="C694" s="3" t="s">
        <v>62</v>
      </c>
      <c r="D694" s="3" t="s">
        <v>63</v>
      </c>
      <c r="E694" s="3" t="s">
        <v>64</v>
      </c>
      <c r="F694" s="3" t="s">
        <v>69</v>
      </c>
      <c r="G694" s="3" t="s">
        <v>65</v>
      </c>
      <c r="H694" s="3" t="s">
        <v>66</v>
      </c>
      <c r="I694" s="3" t="s">
        <v>67</v>
      </c>
    </row>
    <row r="695" spans="1:10">
      <c r="A695" s="11" t="s">
        <v>61</v>
      </c>
      <c r="B695" s="25">
        <v>1</v>
      </c>
      <c r="C695" s="25">
        <v>0</v>
      </c>
      <c r="D695" s="25">
        <v>0</v>
      </c>
      <c r="E695" s="25">
        <v>0</v>
      </c>
      <c r="F695" s="25">
        <v>0</v>
      </c>
      <c r="G695" s="25">
        <v>0</v>
      </c>
      <c r="H695" s="25">
        <v>0</v>
      </c>
      <c r="I695" s="25">
        <v>0</v>
      </c>
      <c r="J695" s="10"/>
    </row>
    <row r="696" spans="1:10">
      <c r="A696" s="11" t="s">
        <v>62</v>
      </c>
      <c r="B696" s="25">
        <v>0</v>
      </c>
      <c r="C696" s="26">
        <f>$B$452</f>
        <v>0.7</v>
      </c>
      <c r="D696" s="25">
        <v>0</v>
      </c>
      <c r="E696" s="25">
        <v>0</v>
      </c>
      <c r="F696" s="25">
        <v>0</v>
      </c>
      <c r="G696" s="25">
        <v>0</v>
      </c>
      <c r="H696" s="25">
        <v>0</v>
      </c>
      <c r="I696" s="25">
        <v>0</v>
      </c>
      <c r="J696" s="10"/>
    </row>
    <row r="697" spans="1:10">
      <c r="A697" s="11" t="s">
        <v>63</v>
      </c>
      <c r="B697" s="25">
        <v>0</v>
      </c>
      <c r="C697" s="25">
        <v>0</v>
      </c>
      <c r="D697" s="26">
        <f>$B$460</f>
        <v>0.7</v>
      </c>
      <c r="E697" s="25">
        <v>0</v>
      </c>
      <c r="F697" s="25">
        <v>0</v>
      </c>
      <c r="G697" s="25">
        <v>0</v>
      </c>
      <c r="H697" s="25">
        <v>0</v>
      </c>
      <c r="I697" s="25">
        <v>0</v>
      </c>
      <c r="J697" s="10"/>
    </row>
    <row r="698" spans="1:10">
      <c r="A698" s="11" t="s">
        <v>64</v>
      </c>
      <c r="B698" s="25">
        <v>0</v>
      </c>
      <c r="C698" s="25">
        <v>0</v>
      </c>
      <c r="D698" s="25">
        <v>0</v>
      </c>
      <c r="E698" s="26">
        <f>$B$468</f>
        <v>0.7</v>
      </c>
      <c r="F698" s="26">
        <f>$B$36</f>
        <v>0.3</v>
      </c>
      <c r="G698" s="25">
        <v>0</v>
      </c>
      <c r="H698" s="25">
        <v>0</v>
      </c>
      <c r="I698" s="25">
        <v>0</v>
      </c>
      <c r="J698" s="10"/>
    </row>
    <row r="699" spans="1:10">
      <c r="A699" s="11" t="s">
        <v>65</v>
      </c>
      <c r="B699" s="25">
        <v>0</v>
      </c>
      <c r="C699" s="25">
        <v>0</v>
      </c>
      <c r="D699" s="25">
        <v>0</v>
      </c>
      <c r="E699" s="25">
        <v>0</v>
      </c>
      <c r="F699" s="25">
        <v>0</v>
      </c>
      <c r="G699" s="25">
        <v>1</v>
      </c>
      <c r="H699" s="25">
        <v>0</v>
      </c>
      <c r="I699" s="25">
        <v>0</v>
      </c>
      <c r="J699" s="10"/>
    </row>
    <row r="700" spans="1:10">
      <c r="A700" s="11" t="s">
        <v>66</v>
      </c>
      <c r="B700" s="25">
        <v>0</v>
      </c>
      <c r="C700" s="25">
        <v>0</v>
      </c>
      <c r="D700" s="25">
        <v>0</v>
      </c>
      <c r="E700" s="25">
        <v>0</v>
      </c>
      <c r="F700" s="25">
        <v>0</v>
      </c>
      <c r="G700" s="25">
        <v>0</v>
      </c>
      <c r="H700" s="25">
        <v>1</v>
      </c>
      <c r="I700" s="25">
        <v>0</v>
      </c>
      <c r="J700" s="10"/>
    </row>
    <row r="701" spans="1:10">
      <c r="A701" s="11" t="s">
        <v>67</v>
      </c>
      <c r="B701" s="25">
        <v>0</v>
      </c>
      <c r="C701" s="25">
        <v>0</v>
      </c>
      <c r="D701" s="25">
        <v>0</v>
      </c>
      <c r="E701" s="25">
        <v>0</v>
      </c>
      <c r="F701" s="25">
        <v>0</v>
      </c>
      <c r="G701" s="25">
        <v>0</v>
      </c>
      <c r="H701" s="25">
        <v>0</v>
      </c>
      <c r="I701" s="25">
        <v>1</v>
      </c>
      <c r="J701" s="10"/>
    </row>
    <row r="703" spans="1:10" ht="21" customHeight="1">
      <c r="A703" s="1" t="s">
        <v>342</v>
      </c>
    </row>
    <row r="704" spans="1:10">
      <c r="A704" s="2" t="s">
        <v>255</v>
      </c>
    </row>
    <row r="705" spans="1:3">
      <c r="A705" s="12" t="s">
        <v>343</v>
      </c>
    </row>
    <row r="706" spans="1:3">
      <c r="A706" s="12" t="s">
        <v>344</v>
      </c>
    </row>
    <row r="707" spans="1:3">
      <c r="A707" s="2" t="s">
        <v>268</v>
      </c>
    </row>
    <row r="709" spans="1:3" ht="45">
      <c r="B709" s="3" t="s">
        <v>345</v>
      </c>
    </row>
    <row r="710" spans="1:3">
      <c r="A710" s="11" t="s">
        <v>61</v>
      </c>
      <c r="B710" s="6">
        <f>SUMPRODUCT(B$677:B$683,$B$695:$B$701)</f>
        <v>465.4847974645935</v>
      </c>
      <c r="C710" s="10"/>
    </row>
    <row r="711" spans="1:3">
      <c r="A711" s="11" t="s">
        <v>62</v>
      </c>
      <c r="B711" s="6">
        <f>SUMPRODUCT(B$677:B$683,$C$695:$C$701)</f>
        <v>324.39361072766712</v>
      </c>
      <c r="C711" s="10"/>
    </row>
    <row r="712" spans="1:3">
      <c r="A712" s="11" t="s">
        <v>63</v>
      </c>
      <c r="B712" s="6">
        <f>SUMPRODUCT(B$677:B$683,$D$695:$D$701)</f>
        <v>320.350535540409</v>
      </c>
      <c r="C712" s="10"/>
    </row>
    <row r="713" spans="1:3">
      <c r="A713" s="11" t="s">
        <v>64</v>
      </c>
      <c r="B713" s="6">
        <f>SUMPRODUCT(B$677:B$683,$E$695:$E$701)</f>
        <v>317.90511160498602</v>
      </c>
      <c r="C713" s="10"/>
    </row>
    <row r="714" spans="1:3">
      <c r="A714" s="11" t="s">
        <v>69</v>
      </c>
      <c r="B714" s="6">
        <f>SUMPRODUCT(B$677:B$683,$F$695:$F$701)</f>
        <v>136.2450478307083</v>
      </c>
      <c r="C714" s="10"/>
    </row>
    <row r="715" spans="1:3">
      <c r="A715" s="11" t="s">
        <v>65</v>
      </c>
      <c r="B715" s="6">
        <f>SUMPRODUCT(B$677:B$683,$G$695:$G$701)</f>
        <v>450.23469681003928</v>
      </c>
      <c r="C715" s="10"/>
    </row>
    <row r="716" spans="1:3">
      <c r="A716" s="11" t="s">
        <v>66</v>
      </c>
      <c r="B716" s="6">
        <f>SUMPRODUCT(B$677:B$683,$H$695:$H$701)</f>
        <v>441.72932330827069</v>
      </c>
      <c r="C716" s="10"/>
    </row>
    <row r="717" spans="1:3">
      <c r="A717" s="11" t="s">
        <v>67</v>
      </c>
      <c r="B717" s="6">
        <f>SUMPRODUCT(B$677:B$683,$I$695:$I$701)</f>
        <v>433.17972350230423</v>
      </c>
      <c r="C717" s="10"/>
    </row>
    <row r="719" spans="1:3" ht="21" customHeight="1">
      <c r="A719" s="1" t="s">
        <v>346</v>
      </c>
    </row>
    <row r="720" spans="1:3">
      <c r="A720" s="2" t="s">
        <v>255</v>
      </c>
    </row>
    <row r="721" spans="1:3">
      <c r="A721" s="12" t="s">
        <v>347</v>
      </c>
    </row>
    <row r="722" spans="1:3">
      <c r="A722" s="12" t="s">
        <v>348</v>
      </c>
    </row>
    <row r="723" spans="1:3">
      <c r="A723" s="12" t="s">
        <v>349</v>
      </c>
    </row>
    <row r="724" spans="1:3">
      <c r="A724" s="2" t="s">
        <v>350</v>
      </c>
    </row>
    <row r="726" spans="1:3">
      <c r="B726" s="3" t="s">
        <v>351</v>
      </c>
    </row>
    <row r="727" spans="1:3">
      <c r="A727" s="11" t="s">
        <v>352</v>
      </c>
      <c r="B727" s="6">
        <f t="shared" ref="B727:B734" si="69">IF(B710,0.001*B46*B$609/B710,0)</f>
        <v>19.276347308840901</v>
      </c>
      <c r="C727" s="10"/>
    </row>
    <row r="728" spans="1:3">
      <c r="A728" s="11" t="s">
        <v>353</v>
      </c>
      <c r="B728" s="6">
        <f t="shared" si="69"/>
        <v>2.4431203087877109</v>
      </c>
      <c r="C728" s="10"/>
    </row>
    <row r="729" spans="1:3">
      <c r="A729" s="11" t="s">
        <v>354</v>
      </c>
      <c r="B729" s="6">
        <f t="shared" si="69"/>
        <v>7.3411305617467706</v>
      </c>
      <c r="C729" s="10"/>
    </row>
    <row r="730" spans="1:3">
      <c r="A730" s="11" t="s">
        <v>355</v>
      </c>
      <c r="B730" s="6">
        <f t="shared" si="69"/>
        <v>6.4358611856280774</v>
      </c>
      <c r="C730" s="10"/>
    </row>
    <row r="731" spans="1:3">
      <c r="A731" s="11" t="s">
        <v>356</v>
      </c>
      <c r="B731" s="6">
        <f t="shared" si="69"/>
        <v>4.8357029711565902</v>
      </c>
      <c r="C731" s="10"/>
    </row>
    <row r="732" spans="1:3">
      <c r="A732" s="11" t="s">
        <v>357</v>
      </c>
      <c r="B732" s="6">
        <f t="shared" si="69"/>
        <v>21.920409642073491</v>
      </c>
      <c r="C732" s="10"/>
    </row>
    <row r="733" spans="1:3">
      <c r="A733" s="11" t="s">
        <v>358</v>
      </c>
      <c r="B733" s="6">
        <f t="shared" si="69"/>
        <v>8.6316044024150198</v>
      </c>
      <c r="C733" s="10"/>
    </row>
    <row r="734" spans="1:3">
      <c r="A734" s="11" t="s">
        <v>359</v>
      </c>
      <c r="B734" s="6">
        <f t="shared" si="69"/>
        <v>18.128057136479079</v>
      </c>
      <c r="C734" s="10"/>
    </row>
    <row r="736" spans="1:3" ht="21" customHeight="1">
      <c r="A736" s="1" t="str">
        <f>"Service models"&amp;" for "&amp;CDCM!B7&amp;" in "&amp;CDCM!C7&amp;" ("&amp;CDCM!D7&amp;")"</f>
        <v>Service models for 0 in 0 (0)</v>
      </c>
    </row>
    <row r="737" spans="1:3">
      <c r="A737" s="2" t="s">
        <v>360</v>
      </c>
    </row>
    <row r="739" spans="1:3" ht="21" customHeight="1">
      <c r="A739" s="1" t="s">
        <v>361</v>
      </c>
    </row>
    <row r="740" spans="1:3">
      <c r="A740" s="2" t="s">
        <v>255</v>
      </c>
    </row>
    <row r="741" spans="1:3">
      <c r="A741" s="12" t="s">
        <v>362</v>
      </c>
    </row>
    <row r="742" spans="1:3">
      <c r="A742" s="12" t="s">
        <v>363</v>
      </c>
    </row>
    <row r="743" spans="1:3">
      <c r="A743" s="2" t="s">
        <v>268</v>
      </c>
    </row>
    <row r="745" spans="1:3" ht="30">
      <c r="B745" s="3" t="s">
        <v>364</v>
      </c>
    </row>
    <row r="746" spans="1:3">
      <c r="A746" s="11" t="s">
        <v>92</v>
      </c>
      <c r="B746" s="15">
        <f t="shared" ref="B746:B761" si="70">SUMPRODUCT($B68:$I68,$B$58:$I$58)</f>
        <v>279.53189460751759</v>
      </c>
      <c r="C746" s="10"/>
    </row>
    <row r="747" spans="1:3">
      <c r="A747" s="11" t="s">
        <v>93</v>
      </c>
      <c r="B747" s="15">
        <f t="shared" si="70"/>
        <v>279.53189460751759</v>
      </c>
      <c r="C747" s="10"/>
    </row>
    <row r="748" spans="1:3">
      <c r="A748" s="11" t="s">
        <v>94</v>
      </c>
      <c r="B748" s="15">
        <f t="shared" si="70"/>
        <v>628.89086827906715</v>
      </c>
      <c r="C748" s="10"/>
    </row>
    <row r="749" spans="1:3">
      <c r="A749" s="11" t="s">
        <v>95</v>
      </c>
      <c r="B749" s="15">
        <f t="shared" si="70"/>
        <v>628.89086827906715</v>
      </c>
      <c r="C749" s="10"/>
    </row>
    <row r="750" spans="1:3">
      <c r="A750" s="11" t="s">
        <v>96</v>
      </c>
      <c r="B750" s="15">
        <f t="shared" si="70"/>
        <v>765.67015161583527</v>
      </c>
      <c r="C750" s="10"/>
    </row>
    <row r="751" spans="1:3">
      <c r="A751" s="11" t="s">
        <v>97</v>
      </c>
      <c r="B751" s="15">
        <f t="shared" si="70"/>
        <v>567.83627290302593</v>
      </c>
      <c r="C751" s="10"/>
    </row>
    <row r="752" spans="1:3">
      <c r="A752" s="11" t="s">
        <v>1647</v>
      </c>
      <c r="B752" s="15">
        <f t="shared" si="70"/>
        <v>279.53189460751759</v>
      </c>
      <c r="C752" s="10"/>
    </row>
    <row r="753" spans="1:3">
      <c r="A753" s="11" t="s">
        <v>1646</v>
      </c>
      <c r="B753" s="15">
        <f t="shared" si="70"/>
        <v>628.89086827906715</v>
      </c>
      <c r="C753" s="10"/>
    </row>
    <row r="754" spans="1:3">
      <c r="A754" s="11" t="s">
        <v>98</v>
      </c>
      <c r="B754" s="15">
        <f t="shared" si="70"/>
        <v>1290.8182162242881</v>
      </c>
      <c r="C754" s="10"/>
    </row>
    <row r="755" spans="1:3">
      <c r="A755" s="11" t="s">
        <v>99</v>
      </c>
      <c r="B755" s="15">
        <f t="shared" si="70"/>
        <v>994.20508625521404</v>
      </c>
      <c r="C755" s="10"/>
    </row>
    <row r="756" spans="1:3">
      <c r="A756" s="11" t="s">
        <v>1645</v>
      </c>
      <c r="B756" s="15">
        <f t="shared" si="70"/>
        <v>0</v>
      </c>
      <c r="C756" s="10"/>
    </row>
    <row r="757" spans="1:3">
      <c r="A757" s="11" t="s">
        <v>100</v>
      </c>
      <c r="B757" s="15">
        <f t="shared" si="70"/>
        <v>0</v>
      </c>
      <c r="C757" s="10"/>
    </row>
    <row r="758" spans="1:3">
      <c r="A758" s="11" t="s">
        <v>101</v>
      </c>
      <c r="B758" s="15">
        <f t="shared" si="70"/>
        <v>0</v>
      </c>
      <c r="C758" s="10"/>
    </row>
    <row r="759" spans="1:3">
      <c r="A759" s="11" t="s">
        <v>102</v>
      </c>
      <c r="B759" s="15">
        <f t="shared" si="70"/>
        <v>0</v>
      </c>
      <c r="C759" s="10"/>
    </row>
    <row r="760" spans="1:3">
      <c r="A760" s="11" t="s">
        <v>103</v>
      </c>
      <c r="B760" s="15">
        <f t="shared" si="70"/>
        <v>0</v>
      </c>
      <c r="C760" s="10"/>
    </row>
    <row r="761" spans="1:3">
      <c r="A761" s="11" t="s">
        <v>104</v>
      </c>
      <c r="B761" s="15">
        <f t="shared" si="70"/>
        <v>0</v>
      </c>
      <c r="C761" s="10"/>
    </row>
    <row r="763" spans="1:3" ht="21" customHeight="1">
      <c r="A763" s="1" t="s">
        <v>365</v>
      </c>
    </row>
    <row r="764" spans="1:3">
      <c r="A764" s="2" t="s">
        <v>255</v>
      </c>
    </row>
    <row r="765" spans="1:3">
      <c r="A765" s="12" t="s">
        <v>366</v>
      </c>
    </row>
    <row r="766" spans="1:3">
      <c r="A766" s="12" t="s">
        <v>363</v>
      </c>
    </row>
    <row r="767" spans="1:3">
      <c r="A767" s="2" t="s">
        <v>268</v>
      </c>
    </row>
    <row r="769" spans="1:3" ht="30">
      <c r="B769" s="3" t="s">
        <v>364</v>
      </c>
    </row>
    <row r="770" spans="1:3">
      <c r="A770" s="11" t="s">
        <v>367</v>
      </c>
      <c r="B770" s="15">
        <f>SUMPRODUCT($B90:$I90,$B$58:$I$58)</f>
        <v>253.53983951383</v>
      </c>
      <c r="C770" s="10"/>
    </row>
    <row r="772" spans="1:3" ht="21" customHeight="1">
      <c r="A772" s="1" t="s">
        <v>368</v>
      </c>
    </row>
    <row r="773" spans="1:3">
      <c r="A773" s="2" t="s">
        <v>255</v>
      </c>
    </row>
    <row r="774" spans="1:3">
      <c r="A774" s="12" t="s">
        <v>369</v>
      </c>
    </row>
    <row r="775" spans="1:3">
      <c r="A775" s="12" t="s">
        <v>370</v>
      </c>
    </row>
    <row r="776" spans="1:3">
      <c r="A776" s="12" t="s">
        <v>349</v>
      </c>
    </row>
    <row r="777" spans="1:3">
      <c r="A777" s="2" t="s">
        <v>371</v>
      </c>
    </row>
    <row r="779" spans="1:3" ht="30">
      <c r="B779" s="3" t="s">
        <v>364</v>
      </c>
    </row>
    <row r="780" spans="1:3" ht="30">
      <c r="A780" s="11" t="s">
        <v>372</v>
      </c>
      <c r="B780" s="6">
        <f>0.1*$D14*B770*$B609</f>
        <v>0</v>
      </c>
      <c r="C780" s="10"/>
    </row>
    <row r="782" spans="1:3" ht="21" customHeight="1">
      <c r="A782" s="1" t="s">
        <v>373</v>
      </c>
    </row>
    <row r="783" spans="1:3">
      <c r="A783" s="2" t="s">
        <v>255</v>
      </c>
    </row>
    <row r="784" spans="1:3">
      <c r="A784" s="12" t="s">
        <v>374</v>
      </c>
    </row>
    <row r="785" spans="1:3">
      <c r="A785" s="12" t="s">
        <v>375</v>
      </c>
    </row>
    <row r="786" spans="1:3">
      <c r="A786" s="2" t="s">
        <v>268</v>
      </c>
    </row>
    <row r="788" spans="1:3" ht="30">
      <c r="B788" s="3" t="s">
        <v>376</v>
      </c>
    </row>
    <row r="789" spans="1:3">
      <c r="A789" s="11" t="s">
        <v>110</v>
      </c>
      <c r="B789" s="15">
        <f>SUMPRODUCT($B95:$F95,$B$63:$F$63)</f>
        <v>9863.6680973421971</v>
      </c>
      <c r="C789" s="10"/>
    </row>
    <row r="790" spans="1:3">
      <c r="A790" s="11" t="s">
        <v>111</v>
      </c>
      <c r="B790" s="15">
        <f>SUMPRODUCT($B96:$F96,$B$63:$F$63)</f>
        <v>9863.6680973421971</v>
      </c>
      <c r="C790" s="10"/>
    </row>
    <row r="791" spans="1:3">
      <c r="A791" s="11" t="s">
        <v>112</v>
      </c>
      <c r="B791" s="15">
        <f>SUMPRODUCT($B97:$F97,$B$63:$F$63)</f>
        <v>4755.6075955337519</v>
      </c>
      <c r="C791" s="10"/>
    </row>
    <row r="792" spans="1:3">
      <c r="A792" s="11" t="s">
        <v>113</v>
      </c>
      <c r="B792" s="15">
        <f>SUMPRODUCT($B98:$F98,$B$63:$F$63)</f>
        <v>4755.6075955337519</v>
      </c>
      <c r="C792" s="10"/>
    </row>
    <row r="794" spans="1:3" ht="21" customHeight="1">
      <c r="A794" s="1" t="s">
        <v>377</v>
      </c>
    </row>
    <row r="795" spans="1:3">
      <c r="A795" s="2" t="s">
        <v>255</v>
      </c>
    </row>
    <row r="796" spans="1:3">
      <c r="A796" s="12" t="s">
        <v>378</v>
      </c>
    </row>
    <row r="797" spans="1:3">
      <c r="A797" s="12" t="s">
        <v>379</v>
      </c>
    </row>
    <row r="798" spans="1:3">
      <c r="A798" s="2" t="s">
        <v>273</v>
      </c>
    </row>
    <row r="800" spans="1:3" ht="30">
      <c r="B800" s="3" t="s">
        <v>364</v>
      </c>
      <c r="C800" s="3" t="s">
        <v>376</v>
      </c>
    </row>
    <row r="801" spans="1:4">
      <c r="A801" s="11" t="s">
        <v>92</v>
      </c>
      <c r="B801" s="7">
        <f>$B$746</f>
        <v>279.53189460751759</v>
      </c>
      <c r="C801" s="9"/>
      <c r="D801" s="10"/>
    </row>
    <row r="802" spans="1:4">
      <c r="A802" s="11" t="s">
        <v>93</v>
      </c>
      <c r="B802" s="7">
        <f>$B$747</f>
        <v>279.53189460751759</v>
      </c>
      <c r="C802" s="9"/>
      <c r="D802" s="10"/>
    </row>
    <row r="803" spans="1:4">
      <c r="A803" s="11" t="s">
        <v>129</v>
      </c>
      <c r="B803" s="9"/>
      <c r="C803" s="9"/>
      <c r="D803" s="10"/>
    </row>
    <row r="804" spans="1:4">
      <c r="A804" s="11" t="s">
        <v>94</v>
      </c>
      <c r="B804" s="7">
        <f>$B$748</f>
        <v>628.89086827906715</v>
      </c>
      <c r="C804" s="9"/>
      <c r="D804" s="10"/>
    </row>
    <row r="805" spans="1:4">
      <c r="A805" s="11" t="s">
        <v>95</v>
      </c>
      <c r="B805" s="7">
        <f>$B$749</f>
        <v>628.89086827906715</v>
      </c>
      <c r="C805" s="9"/>
      <c r="D805" s="10"/>
    </row>
    <row r="806" spans="1:4">
      <c r="A806" s="11" t="s">
        <v>130</v>
      </c>
      <c r="B806" s="9"/>
      <c r="C806" s="9"/>
      <c r="D806" s="10"/>
    </row>
    <row r="807" spans="1:4">
      <c r="A807" s="11" t="s">
        <v>96</v>
      </c>
      <c r="B807" s="7">
        <f>$B$750</f>
        <v>765.67015161583527</v>
      </c>
      <c r="C807" s="9"/>
      <c r="D807" s="10"/>
    </row>
    <row r="808" spans="1:4">
      <c r="A808" s="11" t="s">
        <v>97</v>
      </c>
      <c r="B808" s="7">
        <f>$B$751</f>
        <v>567.83627290302593</v>
      </c>
      <c r="C808" s="9"/>
      <c r="D808" s="10"/>
    </row>
    <row r="809" spans="1:4">
      <c r="A809" s="11" t="s">
        <v>110</v>
      </c>
      <c r="B809" s="9"/>
      <c r="C809" s="7">
        <f>$B$789</f>
        <v>9863.6680973421971</v>
      </c>
      <c r="D809" s="10"/>
    </row>
    <row r="810" spans="1:4">
      <c r="A810" s="11" t="s">
        <v>1647</v>
      </c>
      <c r="B810" s="7">
        <f>$B$752</f>
        <v>279.53189460751759</v>
      </c>
      <c r="C810" s="9"/>
      <c r="D810" s="10"/>
    </row>
    <row r="811" spans="1:4">
      <c r="A811" s="11" t="s">
        <v>1646</v>
      </c>
      <c r="B811" s="7">
        <f>$B$753</f>
        <v>628.89086827906715</v>
      </c>
      <c r="C811" s="9"/>
      <c r="D811" s="10"/>
    </row>
    <row r="812" spans="1:4">
      <c r="A812" s="11" t="s">
        <v>98</v>
      </c>
      <c r="B812" s="7">
        <f>$B$754</f>
        <v>1290.8182162242881</v>
      </c>
      <c r="C812" s="9"/>
      <c r="D812" s="10"/>
    </row>
    <row r="813" spans="1:4">
      <c r="A813" s="11" t="s">
        <v>99</v>
      </c>
      <c r="B813" s="7">
        <f>$B$755</f>
        <v>994.20508625521404</v>
      </c>
      <c r="C813" s="9"/>
      <c r="D813" s="10"/>
    </row>
    <row r="814" spans="1:4">
      <c r="A814" s="11" t="s">
        <v>111</v>
      </c>
      <c r="B814" s="9"/>
      <c r="C814" s="7">
        <f>$B$790</f>
        <v>9863.6680973421971</v>
      </c>
      <c r="D814" s="10"/>
    </row>
    <row r="815" spans="1:4">
      <c r="A815" s="11" t="s">
        <v>131</v>
      </c>
      <c r="B815" s="9"/>
      <c r="C815" s="9"/>
      <c r="D815" s="10"/>
    </row>
    <row r="816" spans="1:4">
      <c r="A816" s="11" t="s">
        <v>132</v>
      </c>
      <c r="B816" s="9"/>
      <c r="C816" s="9"/>
      <c r="D816" s="10"/>
    </row>
    <row r="817" spans="1:4">
      <c r="A817" s="11" t="s">
        <v>133</v>
      </c>
      <c r="B817" s="9"/>
      <c r="C817" s="9"/>
      <c r="D817" s="10"/>
    </row>
    <row r="818" spans="1:4">
      <c r="A818" s="11" t="s">
        <v>134</v>
      </c>
      <c r="B818" s="9"/>
      <c r="C818" s="9"/>
      <c r="D818" s="10"/>
    </row>
    <row r="819" spans="1:4">
      <c r="A819" s="11" t="s">
        <v>135</v>
      </c>
      <c r="B819" s="9"/>
      <c r="C819" s="9"/>
      <c r="D819" s="10"/>
    </row>
    <row r="820" spans="1:4">
      <c r="A820" s="11" t="s">
        <v>1645</v>
      </c>
      <c r="B820" s="7">
        <f>$B$756</f>
        <v>0</v>
      </c>
      <c r="C820" s="9"/>
      <c r="D820" s="10"/>
    </row>
    <row r="821" spans="1:4">
      <c r="A821" s="11" t="s">
        <v>100</v>
      </c>
      <c r="B821" s="7">
        <f>$B$757</f>
        <v>0</v>
      </c>
      <c r="C821" s="9"/>
      <c r="D821" s="10"/>
    </row>
    <row r="822" spans="1:4">
      <c r="A822" s="11" t="s">
        <v>101</v>
      </c>
      <c r="B822" s="7">
        <f>$B$758</f>
        <v>0</v>
      </c>
      <c r="C822" s="9"/>
      <c r="D822" s="10"/>
    </row>
    <row r="823" spans="1:4">
      <c r="A823" s="11" t="s">
        <v>102</v>
      </c>
      <c r="B823" s="7">
        <f>$B$759</f>
        <v>0</v>
      </c>
      <c r="C823" s="9"/>
      <c r="D823" s="10"/>
    </row>
    <row r="824" spans="1:4">
      <c r="A824" s="11" t="s">
        <v>103</v>
      </c>
      <c r="B824" s="7">
        <f>$B$760</f>
        <v>0</v>
      </c>
      <c r="C824" s="9"/>
      <c r="D824" s="10"/>
    </row>
    <row r="825" spans="1:4">
      <c r="A825" s="11" t="s">
        <v>104</v>
      </c>
      <c r="B825" s="7">
        <f>$B$761</f>
        <v>0</v>
      </c>
      <c r="C825" s="9"/>
      <c r="D825" s="10"/>
    </row>
    <row r="826" spans="1:4">
      <c r="A826" s="11" t="s">
        <v>112</v>
      </c>
      <c r="B826" s="9"/>
      <c r="C826" s="7">
        <f>$B$791</f>
        <v>4755.6075955337519</v>
      </c>
      <c r="D826" s="10"/>
    </row>
    <row r="827" spans="1:4">
      <c r="A827" s="11" t="s">
        <v>113</v>
      </c>
      <c r="B827" s="9"/>
      <c r="C827" s="7">
        <f>$B$792</f>
        <v>4755.6075955337519</v>
      </c>
      <c r="D827" s="10"/>
    </row>
    <row r="829" spans="1:4" ht="21" customHeight="1">
      <c r="A829" s="1" t="s">
        <v>380</v>
      </c>
    </row>
    <row r="830" spans="1:4">
      <c r="A830" s="2" t="s">
        <v>255</v>
      </c>
    </row>
    <row r="831" spans="1:4">
      <c r="A831" s="12" t="s">
        <v>381</v>
      </c>
    </row>
    <row r="832" spans="1:4">
      <c r="A832" s="12" t="s">
        <v>382</v>
      </c>
    </row>
    <row r="833" spans="1:5">
      <c r="A833" s="12" t="s">
        <v>349</v>
      </c>
    </row>
    <row r="834" spans="1:5">
      <c r="A834" s="12" t="s">
        <v>383</v>
      </c>
    </row>
    <row r="835" spans="1:5">
      <c r="A835" s="12" t="s">
        <v>384</v>
      </c>
    </row>
    <row r="836" spans="1:5">
      <c r="A836" s="21" t="s">
        <v>258</v>
      </c>
      <c r="B836" s="21" t="s">
        <v>385</v>
      </c>
      <c r="C836" s="21"/>
      <c r="D836" s="21" t="s">
        <v>386</v>
      </c>
    </row>
    <row r="837" spans="1:5">
      <c r="A837" s="21" t="s">
        <v>261</v>
      </c>
      <c r="B837" s="21" t="s">
        <v>387</v>
      </c>
      <c r="C837" s="21"/>
      <c r="D837" s="21" t="s">
        <v>388</v>
      </c>
    </row>
    <row r="839" spans="1:5">
      <c r="B839" s="20" t="s">
        <v>389</v>
      </c>
      <c r="C839" s="20"/>
    </row>
    <row r="840" spans="1:5" ht="30">
      <c r="B840" s="3" t="s">
        <v>364</v>
      </c>
      <c r="C840" s="3" t="s">
        <v>376</v>
      </c>
      <c r="D840" s="3" t="s">
        <v>390</v>
      </c>
    </row>
    <row r="841" spans="1:5">
      <c r="A841" s="11" t="s">
        <v>92</v>
      </c>
      <c r="B841" s="6">
        <f t="shared" ref="B841:C867" si="71">100/$F$14*B801*$B$609*$D$14</f>
        <v>0</v>
      </c>
      <c r="C841" s="6">
        <f t="shared" si="71"/>
        <v>0</v>
      </c>
      <c r="D841" s="6">
        <f t="shared" ref="D841:D867" si="72">SUM($B841:$C841)</f>
        <v>0</v>
      </c>
      <c r="E841" s="10"/>
    </row>
    <row r="842" spans="1:5">
      <c r="A842" s="11" t="s">
        <v>93</v>
      </c>
      <c r="B842" s="6">
        <f t="shared" si="71"/>
        <v>0</v>
      </c>
      <c r="C842" s="6">
        <f t="shared" si="71"/>
        <v>0</v>
      </c>
      <c r="D842" s="6">
        <f t="shared" si="72"/>
        <v>0</v>
      </c>
      <c r="E842" s="10"/>
    </row>
    <row r="843" spans="1:5">
      <c r="A843" s="11" t="s">
        <v>129</v>
      </c>
      <c r="B843" s="6">
        <f t="shared" si="71"/>
        <v>0</v>
      </c>
      <c r="C843" s="6">
        <f t="shared" si="71"/>
        <v>0</v>
      </c>
      <c r="D843" s="6">
        <f t="shared" si="72"/>
        <v>0</v>
      </c>
      <c r="E843" s="10"/>
    </row>
    <row r="844" spans="1:5">
      <c r="A844" s="11" t="s">
        <v>94</v>
      </c>
      <c r="B844" s="6">
        <f t="shared" si="71"/>
        <v>0</v>
      </c>
      <c r="C844" s="6">
        <f t="shared" si="71"/>
        <v>0</v>
      </c>
      <c r="D844" s="6">
        <f t="shared" si="72"/>
        <v>0</v>
      </c>
      <c r="E844" s="10"/>
    </row>
    <row r="845" spans="1:5">
      <c r="A845" s="11" t="s">
        <v>95</v>
      </c>
      <c r="B845" s="6">
        <f t="shared" si="71"/>
        <v>0</v>
      </c>
      <c r="C845" s="6">
        <f t="shared" si="71"/>
        <v>0</v>
      </c>
      <c r="D845" s="6">
        <f t="shared" si="72"/>
        <v>0</v>
      </c>
      <c r="E845" s="10"/>
    </row>
    <row r="846" spans="1:5">
      <c r="A846" s="11" t="s">
        <v>130</v>
      </c>
      <c r="B846" s="6">
        <f t="shared" si="71"/>
        <v>0</v>
      </c>
      <c r="C846" s="6">
        <f t="shared" si="71"/>
        <v>0</v>
      </c>
      <c r="D846" s="6">
        <f t="shared" si="72"/>
        <v>0</v>
      </c>
      <c r="E846" s="10"/>
    </row>
    <row r="847" spans="1:5">
      <c r="A847" s="11" t="s">
        <v>96</v>
      </c>
      <c r="B847" s="6">
        <f t="shared" si="71"/>
        <v>0</v>
      </c>
      <c r="C847" s="6">
        <f t="shared" si="71"/>
        <v>0</v>
      </c>
      <c r="D847" s="6">
        <f t="shared" si="72"/>
        <v>0</v>
      </c>
      <c r="E847" s="10"/>
    </row>
    <row r="848" spans="1:5">
      <c r="A848" s="11" t="s">
        <v>97</v>
      </c>
      <c r="B848" s="6">
        <f t="shared" si="71"/>
        <v>0</v>
      </c>
      <c r="C848" s="6">
        <f t="shared" si="71"/>
        <v>0</v>
      </c>
      <c r="D848" s="6">
        <f t="shared" si="72"/>
        <v>0</v>
      </c>
      <c r="E848" s="10"/>
    </row>
    <row r="849" spans="1:5">
      <c r="A849" s="11" t="s">
        <v>110</v>
      </c>
      <c r="B849" s="6">
        <f t="shared" si="71"/>
        <v>0</v>
      </c>
      <c r="C849" s="6">
        <f t="shared" si="71"/>
        <v>0</v>
      </c>
      <c r="D849" s="6">
        <f t="shared" si="72"/>
        <v>0</v>
      </c>
      <c r="E849" s="10"/>
    </row>
    <row r="850" spans="1:5">
      <c r="A850" s="11" t="s">
        <v>1647</v>
      </c>
      <c r="B850" s="6">
        <f t="shared" si="71"/>
        <v>0</v>
      </c>
      <c r="C850" s="6">
        <f t="shared" si="71"/>
        <v>0</v>
      </c>
      <c r="D850" s="6">
        <f t="shared" si="72"/>
        <v>0</v>
      </c>
      <c r="E850" s="10"/>
    </row>
    <row r="851" spans="1:5">
      <c r="A851" s="11" t="s">
        <v>1646</v>
      </c>
      <c r="B851" s="6">
        <f t="shared" si="71"/>
        <v>0</v>
      </c>
      <c r="C851" s="6">
        <f t="shared" si="71"/>
        <v>0</v>
      </c>
      <c r="D851" s="6">
        <f t="shared" si="72"/>
        <v>0</v>
      </c>
      <c r="E851" s="10"/>
    </row>
    <row r="852" spans="1:5">
      <c r="A852" s="11" t="s">
        <v>98</v>
      </c>
      <c r="B852" s="6">
        <f t="shared" si="71"/>
        <v>0</v>
      </c>
      <c r="C852" s="6">
        <f t="shared" si="71"/>
        <v>0</v>
      </c>
      <c r="D852" s="6">
        <f t="shared" si="72"/>
        <v>0</v>
      </c>
      <c r="E852" s="10"/>
    </row>
    <row r="853" spans="1:5">
      <c r="A853" s="11" t="s">
        <v>99</v>
      </c>
      <c r="B853" s="6">
        <f t="shared" si="71"/>
        <v>0</v>
      </c>
      <c r="C853" s="6">
        <f t="shared" si="71"/>
        <v>0</v>
      </c>
      <c r="D853" s="6">
        <f t="shared" si="72"/>
        <v>0</v>
      </c>
      <c r="E853" s="10"/>
    </row>
    <row r="854" spans="1:5">
      <c r="A854" s="11" t="s">
        <v>111</v>
      </c>
      <c r="B854" s="6">
        <f t="shared" si="71"/>
        <v>0</v>
      </c>
      <c r="C854" s="6">
        <f t="shared" si="71"/>
        <v>0</v>
      </c>
      <c r="D854" s="6">
        <f t="shared" si="72"/>
        <v>0</v>
      </c>
      <c r="E854" s="10"/>
    </row>
    <row r="855" spans="1:5">
      <c r="A855" s="11" t="s">
        <v>131</v>
      </c>
      <c r="B855" s="6">
        <f t="shared" si="71"/>
        <v>0</v>
      </c>
      <c r="C855" s="6">
        <f t="shared" si="71"/>
        <v>0</v>
      </c>
      <c r="D855" s="6">
        <f t="shared" si="72"/>
        <v>0</v>
      </c>
      <c r="E855" s="10"/>
    </row>
    <row r="856" spans="1:5">
      <c r="A856" s="11" t="s">
        <v>132</v>
      </c>
      <c r="B856" s="6">
        <f t="shared" si="71"/>
        <v>0</v>
      </c>
      <c r="C856" s="6">
        <f t="shared" si="71"/>
        <v>0</v>
      </c>
      <c r="D856" s="6">
        <f t="shared" si="72"/>
        <v>0</v>
      </c>
      <c r="E856" s="10"/>
    </row>
    <row r="857" spans="1:5">
      <c r="A857" s="11" t="s">
        <v>133</v>
      </c>
      <c r="B857" s="6">
        <f t="shared" si="71"/>
        <v>0</v>
      </c>
      <c r="C857" s="6">
        <f t="shared" si="71"/>
        <v>0</v>
      </c>
      <c r="D857" s="6">
        <f t="shared" si="72"/>
        <v>0</v>
      </c>
      <c r="E857" s="10"/>
    </row>
    <row r="858" spans="1:5">
      <c r="A858" s="11" t="s">
        <v>134</v>
      </c>
      <c r="B858" s="6">
        <f t="shared" si="71"/>
        <v>0</v>
      </c>
      <c r="C858" s="6">
        <f t="shared" si="71"/>
        <v>0</v>
      </c>
      <c r="D858" s="6">
        <f t="shared" si="72"/>
        <v>0</v>
      </c>
      <c r="E858" s="10"/>
    </row>
    <row r="859" spans="1:5">
      <c r="A859" s="11" t="s">
        <v>135</v>
      </c>
      <c r="B859" s="6">
        <f t="shared" si="71"/>
        <v>0</v>
      </c>
      <c r="C859" s="6">
        <f t="shared" si="71"/>
        <v>0</v>
      </c>
      <c r="D859" s="6">
        <f t="shared" si="72"/>
        <v>0</v>
      </c>
      <c r="E859" s="10"/>
    </row>
    <row r="860" spans="1:5">
      <c r="A860" s="11" t="s">
        <v>1645</v>
      </c>
      <c r="B860" s="6">
        <f t="shared" si="71"/>
        <v>0</v>
      </c>
      <c r="C860" s="6">
        <f t="shared" si="71"/>
        <v>0</v>
      </c>
      <c r="D860" s="6">
        <f t="shared" si="72"/>
        <v>0</v>
      </c>
      <c r="E860" s="10"/>
    </row>
    <row r="861" spans="1:5">
      <c r="A861" s="11" t="s">
        <v>100</v>
      </c>
      <c r="B861" s="6">
        <f t="shared" si="71"/>
        <v>0</v>
      </c>
      <c r="C861" s="6">
        <f t="shared" si="71"/>
        <v>0</v>
      </c>
      <c r="D861" s="6">
        <f t="shared" si="72"/>
        <v>0</v>
      </c>
      <c r="E861" s="10"/>
    </row>
    <row r="862" spans="1:5">
      <c r="A862" s="11" t="s">
        <v>101</v>
      </c>
      <c r="B862" s="6">
        <f t="shared" si="71"/>
        <v>0</v>
      </c>
      <c r="C862" s="6">
        <f t="shared" si="71"/>
        <v>0</v>
      </c>
      <c r="D862" s="6">
        <f t="shared" si="72"/>
        <v>0</v>
      </c>
      <c r="E862" s="10"/>
    </row>
    <row r="863" spans="1:5">
      <c r="A863" s="11" t="s">
        <v>102</v>
      </c>
      <c r="B863" s="6">
        <f t="shared" si="71"/>
        <v>0</v>
      </c>
      <c r="C863" s="6">
        <f t="shared" si="71"/>
        <v>0</v>
      </c>
      <c r="D863" s="6">
        <f t="shared" si="72"/>
        <v>0</v>
      </c>
      <c r="E863" s="10"/>
    </row>
    <row r="864" spans="1:5">
      <c r="A864" s="11" t="s">
        <v>103</v>
      </c>
      <c r="B864" s="6">
        <f t="shared" si="71"/>
        <v>0</v>
      </c>
      <c r="C864" s="6">
        <f t="shared" si="71"/>
        <v>0</v>
      </c>
      <c r="D864" s="6">
        <f t="shared" si="72"/>
        <v>0</v>
      </c>
      <c r="E864" s="10"/>
    </row>
    <row r="865" spans="1:5">
      <c r="A865" s="11" t="s">
        <v>104</v>
      </c>
      <c r="B865" s="6">
        <f t="shared" si="71"/>
        <v>0</v>
      </c>
      <c r="C865" s="6">
        <f t="shared" si="71"/>
        <v>0</v>
      </c>
      <c r="D865" s="6">
        <f t="shared" si="72"/>
        <v>0</v>
      </c>
      <c r="E865" s="10"/>
    </row>
    <row r="866" spans="1:5">
      <c r="A866" s="11" t="s">
        <v>112</v>
      </c>
      <c r="B866" s="6">
        <f t="shared" si="71"/>
        <v>0</v>
      </c>
      <c r="C866" s="6">
        <f t="shared" si="71"/>
        <v>0</v>
      </c>
      <c r="D866" s="6">
        <f t="shared" si="72"/>
        <v>0</v>
      </c>
      <c r="E866" s="10"/>
    </row>
    <row r="867" spans="1:5">
      <c r="A867" s="11" t="s">
        <v>113</v>
      </c>
      <c r="B867" s="6">
        <f t="shared" si="71"/>
        <v>0</v>
      </c>
      <c r="C867" s="6">
        <f t="shared" si="71"/>
        <v>0</v>
      </c>
      <c r="D867" s="6">
        <f t="shared" si="72"/>
        <v>0</v>
      </c>
      <c r="E867" s="10"/>
    </row>
    <row r="869" spans="1:5" ht="21" customHeight="1">
      <c r="A869" s="1" t="str">
        <f>"Load characteristics"&amp;" for "&amp;CDCM!B7&amp;" in "&amp;CDCM!C7&amp;" ("&amp;CDCM!D7&amp;")"</f>
        <v>Load characteristics for 0 in 0 (0)</v>
      </c>
    </row>
    <row r="870" spans="1:5">
      <c r="A870" s="2" t="s">
        <v>391</v>
      </c>
    </row>
    <row r="871" spans="1:5">
      <c r="A871" s="2"/>
    </row>
    <row r="872" spans="1:5">
      <c r="A872" s="2" t="s">
        <v>392</v>
      </c>
    </row>
    <row r="873" spans="1:5">
      <c r="A873" s="2" t="s">
        <v>393</v>
      </c>
    </row>
    <row r="874" spans="1:5">
      <c r="A874" s="2"/>
    </row>
    <row r="875" spans="1:5">
      <c r="A875" s="2" t="s">
        <v>394</v>
      </c>
    </row>
    <row r="876" spans="1:5">
      <c r="A876" s="2" t="s">
        <v>395</v>
      </c>
    </row>
    <row r="877" spans="1:5">
      <c r="A877" s="2" t="s">
        <v>396</v>
      </c>
    </row>
    <row r="878" spans="1:5">
      <c r="A878" s="2" t="s">
        <v>397</v>
      </c>
    </row>
    <row r="880" spans="1:5" ht="21" customHeight="1">
      <c r="A880" s="1" t="s">
        <v>398</v>
      </c>
    </row>
    <row r="881" spans="1:3">
      <c r="A881" s="2" t="s">
        <v>255</v>
      </c>
    </row>
    <row r="882" spans="1:3">
      <c r="A882" s="12" t="s">
        <v>399</v>
      </c>
    </row>
    <row r="883" spans="1:3">
      <c r="A883" s="12" t="s">
        <v>400</v>
      </c>
    </row>
    <row r="884" spans="1:3">
      <c r="A884" s="2" t="s">
        <v>332</v>
      </c>
    </row>
    <row r="886" spans="1:3">
      <c r="B886" s="3" t="s">
        <v>401</v>
      </c>
    </row>
    <row r="887" spans="1:3">
      <c r="A887" s="11" t="s">
        <v>92</v>
      </c>
      <c r="B887" s="6">
        <f t="shared" ref="B887:B905" si="73">B116/C116</f>
        <v>1.9489215874029309</v>
      </c>
      <c r="C887" s="10"/>
    </row>
    <row r="888" spans="1:3">
      <c r="A888" s="11" t="s">
        <v>93</v>
      </c>
      <c r="B888" s="6">
        <f t="shared" si="73"/>
        <v>1.1546147161770719</v>
      </c>
      <c r="C888" s="10"/>
    </row>
    <row r="889" spans="1:3">
      <c r="A889" s="11" t="s">
        <v>129</v>
      </c>
      <c r="B889" s="6">
        <f t="shared" si="73"/>
        <v>0</v>
      </c>
      <c r="C889" s="10"/>
    </row>
    <row r="890" spans="1:3">
      <c r="A890" s="11" t="s">
        <v>94</v>
      </c>
      <c r="B890" s="6">
        <f t="shared" si="73"/>
        <v>1.5328184166472327</v>
      </c>
      <c r="C890" s="10"/>
    </row>
    <row r="891" spans="1:3">
      <c r="A891" s="11" t="s">
        <v>95</v>
      </c>
      <c r="B891" s="6">
        <f t="shared" si="73"/>
        <v>1.3174323525879619</v>
      </c>
      <c r="C891" s="10"/>
    </row>
    <row r="892" spans="1:3">
      <c r="A892" s="11" t="s">
        <v>130</v>
      </c>
      <c r="B892" s="6">
        <f t="shared" si="73"/>
        <v>0</v>
      </c>
      <c r="C892" s="10"/>
    </row>
    <row r="893" spans="1:3">
      <c r="A893" s="11" t="s">
        <v>96</v>
      </c>
      <c r="B893" s="6">
        <f t="shared" si="73"/>
        <v>1.4241692676093507</v>
      </c>
      <c r="C893" s="10"/>
    </row>
    <row r="894" spans="1:3">
      <c r="A894" s="11" t="s">
        <v>97</v>
      </c>
      <c r="B894" s="6">
        <f t="shared" si="73"/>
        <v>1.4241692676093507</v>
      </c>
      <c r="C894" s="10"/>
    </row>
    <row r="895" spans="1:3">
      <c r="A895" s="11" t="s">
        <v>110</v>
      </c>
      <c r="B895" s="6">
        <f t="shared" si="73"/>
        <v>1.3800721849428017</v>
      </c>
      <c r="C895" s="10"/>
    </row>
    <row r="896" spans="1:3">
      <c r="A896" s="11" t="s">
        <v>1647</v>
      </c>
      <c r="B896" s="6">
        <f t="shared" si="73"/>
        <v>1.9234915661756786</v>
      </c>
      <c r="C896" s="10"/>
    </row>
    <row r="897" spans="1:3">
      <c r="A897" s="11" t="s">
        <v>1646</v>
      </c>
      <c r="B897" s="6">
        <f t="shared" si="73"/>
        <v>1.4874529456942323</v>
      </c>
      <c r="C897" s="10"/>
    </row>
    <row r="898" spans="1:3">
      <c r="A898" s="11" t="s">
        <v>98</v>
      </c>
      <c r="B898" s="6">
        <f t="shared" si="73"/>
        <v>1.3016723335291442</v>
      </c>
      <c r="C898" s="10"/>
    </row>
    <row r="899" spans="1:3">
      <c r="A899" s="11" t="s">
        <v>99</v>
      </c>
      <c r="B899" s="6">
        <f t="shared" si="73"/>
        <v>1.3016723335291442</v>
      </c>
      <c r="C899" s="10"/>
    </row>
    <row r="900" spans="1:3">
      <c r="A900" s="11" t="s">
        <v>111</v>
      </c>
      <c r="B900" s="6">
        <f t="shared" si="73"/>
        <v>1.1536440110286306</v>
      </c>
      <c r="C900" s="10"/>
    </row>
    <row r="901" spans="1:3">
      <c r="A901" s="11" t="s">
        <v>131</v>
      </c>
      <c r="B901" s="6">
        <f t="shared" si="73"/>
        <v>1</v>
      </c>
      <c r="C901" s="10"/>
    </row>
    <row r="902" spans="1:3">
      <c r="A902" s="11" t="s">
        <v>132</v>
      </c>
      <c r="B902" s="6">
        <f t="shared" si="73"/>
        <v>2.1007914419410767</v>
      </c>
      <c r="C902" s="10"/>
    </row>
    <row r="903" spans="1:3">
      <c r="A903" s="11" t="s">
        <v>133</v>
      </c>
      <c r="B903" s="6">
        <f t="shared" si="73"/>
        <v>3.0598914501424552</v>
      </c>
      <c r="C903" s="10"/>
    </row>
    <row r="904" spans="1:3">
      <c r="A904" s="11" t="s">
        <v>134</v>
      </c>
      <c r="B904" s="6">
        <f t="shared" si="73"/>
        <v>0</v>
      </c>
      <c r="C904" s="10"/>
    </row>
    <row r="905" spans="1:3">
      <c r="A905" s="11" t="s">
        <v>135</v>
      </c>
      <c r="B905" s="6">
        <f t="shared" si="73"/>
        <v>2.064076560431892</v>
      </c>
      <c r="C905" s="10"/>
    </row>
    <row r="907" spans="1:3" ht="21" customHeight="1">
      <c r="A907" s="1" t="s">
        <v>402</v>
      </c>
    </row>
    <row r="908" spans="1:3">
      <c r="A908" s="2" t="s">
        <v>255</v>
      </c>
    </row>
    <row r="909" spans="1:3">
      <c r="A909" s="12" t="s">
        <v>403</v>
      </c>
    </row>
    <row r="910" spans="1:3">
      <c r="A910" s="2" t="s">
        <v>404</v>
      </c>
    </row>
    <row r="911" spans="1:3">
      <c r="A911" s="2" t="s">
        <v>273</v>
      </c>
    </row>
    <row r="913" spans="1:3">
      <c r="B913" s="3" t="s">
        <v>405</v>
      </c>
    </row>
    <row r="914" spans="1:3">
      <c r="A914" s="11" t="s">
        <v>92</v>
      </c>
      <c r="B914" s="7">
        <f>B$887</f>
        <v>1.9489215874029309</v>
      </c>
      <c r="C914" s="10"/>
    </row>
    <row r="915" spans="1:3">
      <c r="A915" s="11" t="s">
        <v>93</v>
      </c>
      <c r="B915" s="7">
        <f>B$888</f>
        <v>1.1546147161770719</v>
      </c>
      <c r="C915" s="10"/>
    </row>
    <row r="916" spans="1:3">
      <c r="A916" s="11" t="s">
        <v>129</v>
      </c>
      <c r="B916" s="7">
        <f>B$889</f>
        <v>0</v>
      </c>
      <c r="C916" s="10"/>
    </row>
    <row r="917" spans="1:3">
      <c r="A917" s="11" t="s">
        <v>94</v>
      </c>
      <c r="B917" s="7">
        <f>B$890</f>
        <v>1.5328184166472327</v>
      </c>
      <c r="C917" s="10"/>
    </row>
    <row r="918" spans="1:3">
      <c r="A918" s="11" t="s">
        <v>95</v>
      </c>
      <c r="B918" s="7">
        <f>B$891</f>
        <v>1.3174323525879619</v>
      </c>
      <c r="C918" s="10"/>
    </row>
    <row r="919" spans="1:3">
      <c r="A919" s="11" t="s">
        <v>130</v>
      </c>
      <c r="B919" s="7">
        <f>B$892</f>
        <v>0</v>
      </c>
      <c r="C919" s="10"/>
    </row>
    <row r="920" spans="1:3">
      <c r="A920" s="11" t="s">
        <v>96</v>
      </c>
      <c r="B920" s="7">
        <f>B$893</f>
        <v>1.4241692676093507</v>
      </c>
      <c r="C920" s="10"/>
    </row>
    <row r="921" spans="1:3">
      <c r="A921" s="11" t="s">
        <v>97</v>
      </c>
      <c r="B921" s="7">
        <f>B$894</f>
        <v>1.4241692676093507</v>
      </c>
      <c r="C921" s="10"/>
    </row>
    <row r="922" spans="1:3">
      <c r="A922" s="11" t="s">
        <v>110</v>
      </c>
      <c r="B922" s="7">
        <f>B$895</f>
        <v>1.3800721849428017</v>
      </c>
      <c r="C922" s="10"/>
    </row>
    <row r="923" spans="1:3">
      <c r="A923" s="11" t="s">
        <v>1647</v>
      </c>
      <c r="B923" s="7">
        <f>B$896</f>
        <v>1.9234915661756786</v>
      </c>
      <c r="C923" s="10"/>
    </row>
    <row r="924" spans="1:3">
      <c r="A924" s="11" t="s">
        <v>1646</v>
      </c>
      <c r="B924" s="7">
        <f>B$897</f>
        <v>1.4874529456942323</v>
      </c>
      <c r="C924" s="10"/>
    </row>
    <row r="925" spans="1:3">
      <c r="A925" s="11" t="s">
        <v>98</v>
      </c>
      <c r="B925" s="7">
        <f>B$898</f>
        <v>1.3016723335291442</v>
      </c>
      <c r="C925" s="10"/>
    </row>
    <row r="926" spans="1:3">
      <c r="A926" s="11" t="s">
        <v>99</v>
      </c>
      <c r="B926" s="7">
        <f>B$899</f>
        <v>1.3016723335291442</v>
      </c>
      <c r="C926" s="10"/>
    </row>
    <row r="927" spans="1:3">
      <c r="A927" s="11" t="s">
        <v>111</v>
      </c>
      <c r="B927" s="7">
        <f>B$900</f>
        <v>1.1536440110286306</v>
      </c>
      <c r="C927" s="10"/>
    </row>
    <row r="928" spans="1:3">
      <c r="A928" s="11" t="s">
        <v>131</v>
      </c>
      <c r="B928" s="7">
        <f>B$901</f>
        <v>1</v>
      </c>
      <c r="C928" s="10"/>
    </row>
    <row r="929" spans="1:6">
      <c r="A929" s="11" t="s">
        <v>132</v>
      </c>
      <c r="B929" s="7">
        <f>B$902</f>
        <v>2.1007914419410767</v>
      </c>
      <c r="C929" s="10"/>
    </row>
    <row r="930" spans="1:6">
      <c r="A930" s="11" t="s">
        <v>133</v>
      </c>
      <c r="B930" s="7">
        <f>B$903</f>
        <v>3.0598914501424552</v>
      </c>
      <c r="C930" s="10"/>
    </row>
    <row r="931" spans="1:6">
      <c r="A931" s="11" t="s">
        <v>134</v>
      </c>
      <c r="B931" s="7">
        <f>B$904</f>
        <v>0</v>
      </c>
      <c r="C931" s="10"/>
    </row>
    <row r="932" spans="1:6">
      <c r="A932" s="11" t="s">
        <v>135</v>
      </c>
      <c r="B932" s="7">
        <f>B$905</f>
        <v>2.064076560431892</v>
      </c>
      <c r="C932" s="10"/>
    </row>
    <row r="933" spans="1:6">
      <c r="A933" s="11" t="s">
        <v>1645</v>
      </c>
      <c r="B933" s="5">
        <v>-1</v>
      </c>
      <c r="C933" s="10"/>
    </row>
    <row r="934" spans="1:6">
      <c r="A934" s="11" t="s">
        <v>100</v>
      </c>
      <c r="B934" s="5">
        <v>-1</v>
      </c>
      <c r="C934" s="10"/>
    </row>
    <row r="935" spans="1:6">
      <c r="A935" s="11" t="s">
        <v>101</v>
      </c>
      <c r="B935" s="5">
        <v>-1</v>
      </c>
      <c r="C935" s="10"/>
    </row>
    <row r="936" spans="1:6">
      <c r="A936" s="11" t="s">
        <v>102</v>
      </c>
      <c r="B936" s="5">
        <v>-1</v>
      </c>
      <c r="C936" s="10"/>
    </row>
    <row r="937" spans="1:6">
      <c r="A937" s="11" t="s">
        <v>103</v>
      </c>
      <c r="B937" s="5">
        <v>-1</v>
      </c>
      <c r="C937" s="10"/>
    </row>
    <row r="938" spans="1:6">
      <c r="A938" s="11" t="s">
        <v>104</v>
      </c>
      <c r="B938" s="5">
        <v>-1</v>
      </c>
      <c r="C938" s="10"/>
    </row>
    <row r="939" spans="1:6">
      <c r="A939" s="11" t="s">
        <v>112</v>
      </c>
      <c r="B939" s="5">
        <v>-1</v>
      </c>
      <c r="C939" s="10"/>
    </row>
    <row r="940" spans="1:6">
      <c r="A940" s="11" t="s">
        <v>113</v>
      </c>
      <c r="B940" s="5">
        <v>-1</v>
      </c>
      <c r="C940" s="10"/>
    </row>
    <row r="942" spans="1:6" ht="21" customHeight="1">
      <c r="A942" s="1" t="s">
        <v>406</v>
      </c>
    </row>
    <row r="944" spans="1:6">
      <c r="B944" s="3" t="s">
        <v>119</v>
      </c>
      <c r="C944" s="3" t="s">
        <v>120</v>
      </c>
      <c r="D944" s="3" t="s">
        <v>121</v>
      </c>
      <c r="E944" s="3" t="s">
        <v>122</v>
      </c>
      <c r="F944" s="3" t="s">
        <v>123</v>
      </c>
    </row>
    <row r="945" spans="1:7">
      <c r="A945" s="17" t="s">
        <v>146</v>
      </c>
      <c r="G945" s="10"/>
    </row>
    <row r="946" spans="1:7">
      <c r="A946" s="11" t="s">
        <v>92</v>
      </c>
      <c r="B946" s="23">
        <v>1</v>
      </c>
      <c r="C946" s="23">
        <v>0</v>
      </c>
      <c r="D946" s="23">
        <v>0</v>
      </c>
      <c r="E946" s="23">
        <v>0</v>
      </c>
      <c r="F946" s="23">
        <v>0</v>
      </c>
      <c r="G946" s="10"/>
    </row>
    <row r="947" spans="1:7">
      <c r="A947" s="11" t="s">
        <v>147</v>
      </c>
      <c r="B947" s="23">
        <v>0</v>
      </c>
      <c r="C947" s="23">
        <v>1</v>
      </c>
      <c r="D947" s="23">
        <v>0</v>
      </c>
      <c r="E947" s="23">
        <v>0</v>
      </c>
      <c r="F947" s="23">
        <v>0</v>
      </c>
      <c r="G947" s="10"/>
    </row>
    <row r="948" spans="1:7">
      <c r="A948" s="11" t="s">
        <v>148</v>
      </c>
      <c r="B948" s="23">
        <v>0</v>
      </c>
      <c r="C948" s="23">
        <v>0</v>
      </c>
      <c r="D948" s="23">
        <v>1</v>
      </c>
      <c r="E948" s="23">
        <v>0</v>
      </c>
      <c r="F948" s="23">
        <v>0</v>
      </c>
      <c r="G948" s="10"/>
    </row>
    <row r="949" spans="1:7">
      <c r="A949" s="17" t="s">
        <v>149</v>
      </c>
      <c r="G949" s="10"/>
    </row>
    <row r="950" spans="1:7">
      <c r="A950" s="11" t="s">
        <v>93</v>
      </c>
      <c r="B950" s="23">
        <v>1</v>
      </c>
      <c r="C950" s="23">
        <v>0</v>
      </c>
      <c r="D950" s="23">
        <v>0</v>
      </c>
      <c r="E950" s="23">
        <v>0</v>
      </c>
      <c r="F950" s="23">
        <v>0</v>
      </c>
      <c r="G950" s="10"/>
    </row>
    <row r="951" spans="1:7">
      <c r="A951" s="11" t="s">
        <v>150</v>
      </c>
      <c r="B951" s="23">
        <v>0</v>
      </c>
      <c r="C951" s="23">
        <v>1</v>
      </c>
      <c r="D951" s="23">
        <v>0</v>
      </c>
      <c r="E951" s="23">
        <v>0</v>
      </c>
      <c r="F951" s="23">
        <v>0</v>
      </c>
      <c r="G951" s="10"/>
    </row>
    <row r="952" spans="1:7">
      <c r="A952" s="11" t="s">
        <v>151</v>
      </c>
      <c r="B952" s="23">
        <v>0</v>
      </c>
      <c r="C952" s="23">
        <v>0</v>
      </c>
      <c r="D952" s="23">
        <v>1</v>
      </c>
      <c r="E952" s="23">
        <v>0</v>
      </c>
      <c r="F952" s="23">
        <v>0</v>
      </c>
      <c r="G952" s="10"/>
    </row>
    <row r="953" spans="1:7">
      <c r="A953" s="17" t="s">
        <v>152</v>
      </c>
      <c r="G953" s="10"/>
    </row>
    <row r="954" spans="1:7">
      <c r="A954" s="11" t="s">
        <v>129</v>
      </c>
      <c r="B954" s="23">
        <v>1</v>
      </c>
      <c r="C954" s="23">
        <v>0</v>
      </c>
      <c r="D954" s="23">
        <v>0</v>
      </c>
      <c r="E954" s="23">
        <v>0</v>
      </c>
      <c r="F954" s="23">
        <v>0</v>
      </c>
      <c r="G954" s="10"/>
    </row>
    <row r="955" spans="1:7">
      <c r="A955" s="11" t="s">
        <v>153</v>
      </c>
      <c r="B955" s="23">
        <v>0</v>
      </c>
      <c r="C955" s="23">
        <v>1</v>
      </c>
      <c r="D955" s="23">
        <v>0</v>
      </c>
      <c r="E955" s="23">
        <v>0</v>
      </c>
      <c r="F955" s="23">
        <v>0</v>
      </c>
      <c r="G955" s="10"/>
    </row>
    <row r="956" spans="1:7">
      <c r="A956" s="11" t="s">
        <v>154</v>
      </c>
      <c r="B956" s="23">
        <v>0</v>
      </c>
      <c r="C956" s="23">
        <v>0</v>
      </c>
      <c r="D956" s="23">
        <v>1</v>
      </c>
      <c r="E956" s="23">
        <v>0</v>
      </c>
      <c r="F956" s="23">
        <v>0</v>
      </c>
      <c r="G956" s="10"/>
    </row>
    <row r="957" spans="1:7">
      <c r="A957" s="17" t="s">
        <v>155</v>
      </c>
      <c r="G957" s="10"/>
    </row>
    <row r="958" spans="1:7">
      <c r="A958" s="11" t="s">
        <v>94</v>
      </c>
      <c r="B958" s="23">
        <v>1</v>
      </c>
      <c r="C958" s="23">
        <v>0</v>
      </c>
      <c r="D958" s="23">
        <v>0</v>
      </c>
      <c r="E958" s="23">
        <v>0</v>
      </c>
      <c r="F958" s="23">
        <v>0</v>
      </c>
      <c r="G958" s="10"/>
    </row>
    <row r="959" spans="1:7">
      <c r="A959" s="11" t="s">
        <v>156</v>
      </c>
      <c r="B959" s="23">
        <v>0</v>
      </c>
      <c r="C959" s="23">
        <v>1</v>
      </c>
      <c r="D959" s="23">
        <v>0</v>
      </c>
      <c r="E959" s="23">
        <v>0</v>
      </c>
      <c r="F959" s="23">
        <v>0</v>
      </c>
      <c r="G959" s="10"/>
    </row>
    <row r="960" spans="1:7">
      <c r="A960" s="11" t="s">
        <v>157</v>
      </c>
      <c r="B960" s="23">
        <v>0</v>
      </c>
      <c r="C960" s="23">
        <v>0</v>
      </c>
      <c r="D960" s="23">
        <v>1</v>
      </c>
      <c r="E960" s="23">
        <v>0</v>
      </c>
      <c r="F960" s="23">
        <v>0</v>
      </c>
      <c r="G960" s="10"/>
    </row>
    <row r="961" spans="1:7">
      <c r="A961" s="17" t="s">
        <v>158</v>
      </c>
      <c r="G961" s="10"/>
    </row>
    <row r="962" spans="1:7">
      <c r="A962" s="11" t="s">
        <v>95</v>
      </c>
      <c r="B962" s="23">
        <v>1</v>
      </c>
      <c r="C962" s="23">
        <v>0</v>
      </c>
      <c r="D962" s="23">
        <v>0</v>
      </c>
      <c r="E962" s="23">
        <v>0</v>
      </c>
      <c r="F962" s="23">
        <v>0</v>
      </c>
      <c r="G962" s="10"/>
    </row>
    <row r="963" spans="1:7">
      <c r="A963" s="11" t="s">
        <v>159</v>
      </c>
      <c r="B963" s="23">
        <v>0</v>
      </c>
      <c r="C963" s="23">
        <v>1</v>
      </c>
      <c r="D963" s="23">
        <v>0</v>
      </c>
      <c r="E963" s="23">
        <v>0</v>
      </c>
      <c r="F963" s="23">
        <v>0</v>
      </c>
      <c r="G963" s="10"/>
    </row>
    <row r="964" spans="1:7">
      <c r="A964" s="11" t="s">
        <v>160</v>
      </c>
      <c r="B964" s="23">
        <v>0</v>
      </c>
      <c r="C964" s="23">
        <v>0</v>
      </c>
      <c r="D964" s="23">
        <v>1</v>
      </c>
      <c r="E964" s="23">
        <v>0</v>
      </c>
      <c r="F964" s="23">
        <v>0</v>
      </c>
      <c r="G964" s="10"/>
    </row>
    <row r="965" spans="1:7">
      <c r="A965" s="17" t="s">
        <v>161</v>
      </c>
      <c r="G965" s="10"/>
    </row>
    <row r="966" spans="1:7">
      <c r="A966" s="11" t="s">
        <v>130</v>
      </c>
      <c r="B966" s="23">
        <v>1</v>
      </c>
      <c r="C966" s="23">
        <v>0</v>
      </c>
      <c r="D966" s="23">
        <v>0</v>
      </c>
      <c r="E966" s="23">
        <v>0</v>
      </c>
      <c r="F966" s="23">
        <v>0</v>
      </c>
      <c r="G966" s="10"/>
    </row>
    <row r="967" spans="1:7" ht="30">
      <c r="A967" s="11" t="s">
        <v>162</v>
      </c>
      <c r="B967" s="23">
        <v>0</v>
      </c>
      <c r="C967" s="23">
        <v>1</v>
      </c>
      <c r="D967" s="23">
        <v>0</v>
      </c>
      <c r="E967" s="23">
        <v>0</v>
      </c>
      <c r="F967" s="23">
        <v>0</v>
      </c>
      <c r="G967" s="10"/>
    </row>
    <row r="968" spans="1:7" ht="30">
      <c r="A968" s="11" t="s">
        <v>163</v>
      </c>
      <c r="B968" s="23">
        <v>0</v>
      </c>
      <c r="C968" s="23">
        <v>0</v>
      </c>
      <c r="D968" s="23">
        <v>1</v>
      </c>
      <c r="E968" s="23">
        <v>0</v>
      </c>
      <c r="F968" s="23">
        <v>0</v>
      </c>
      <c r="G968" s="10"/>
    </row>
    <row r="969" spans="1:7">
      <c r="A969" s="17" t="s">
        <v>164</v>
      </c>
      <c r="G969" s="10"/>
    </row>
    <row r="970" spans="1:7">
      <c r="A970" s="11" t="s">
        <v>96</v>
      </c>
      <c r="B970" s="23">
        <v>1</v>
      </c>
      <c r="C970" s="23">
        <v>0</v>
      </c>
      <c r="D970" s="23">
        <v>0</v>
      </c>
      <c r="E970" s="23">
        <v>0</v>
      </c>
      <c r="F970" s="23">
        <v>0</v>
      </c>
      <c r="G970" s="10"/>
    </row>
    <row r="971" spans="1:7">
      <c r="A971" s="11" t="s">
        <v>165</v>
      </c>
      <c r="B971" s="23">
        <v>0</v>
      </c>
      <c r="C971" s="23">
        <v>1</v>
      </c>
      <c r="D971" s="23">
        <v>0</v>
      </c>
      <c r="E971" s="23">
        <v>0</v>
      </c>
      <c r="F971" s="23">
        <v>0</v>
      </c>
      <c r="G971" s="10"/>
    </row>
    <row r="972" spans="1:7">
      <c r="A972" s="11" t="s">
        <v>166</v>
      </c>
      <c r="B972" s="23">
        <v>0</v>
      </c>
      <c r="C972" s="23">
        <v>0</v>
      </c>
      <c r="D972" s="23">
        <v>1</v>
      </c>
      <c r="E972" s="23">
        <v>0</v>
      </c>
      <c r="F972" s="23">
        <v>0</v>
      </c>
      <c r="G972" s="10"/>
    </row>
    <row r="973" spans="1:7">
      <c r="A973" s="17" t="s">
        <v>167</v>
      </c>
      <c r="G973" s="10"/>
    </row>
    <row r="974" spans="1:7">
      <c r="A974" s="11" t="s">
        <v>97</v>
      </c>
      <c r="B974" s="23">
        <v>1</v>
      </c>
      <c r="C974" s="23">
        <v>0</v>
      </c>
      <c r="D974" s="23">
        <v>0</v>
      </c>
      <c r="E974" s="23">
        <v>0</v>
      </c>
      <c r="F974" s="23">
        <v>0</v>
      </c>
      <c r="G974" s="10"/>
    </row>
    <row r="975" spans="1:7">
      <c r="A975" s="17" t="s">
        <v>168</v>
      </c>
      <c r="G975" s="10"/>
    </row>
    <row r="976" spans="1:7">
      <c r="A976" s="11" t="s">
        <v>110</v>
      </c>
      <c r="B976" s="23">
        <v>1</v>
      </c>
      <c r="C976" s="23">
        <v>0</v>
      </c>
      <c r="D976" s="23">
        <v>0</v>
      </c>
      <c r="E976" s="23">
        <v>0</v>
      </c>
      <c r="F976" s="23">
        <v>0</v>
      </c>
      <c r="G976" s="10"/>
    </row>
    <row r="977" spans="1:7">
      <c r="A977" s="17" t="s">
        <v>1650</v>
      </c>
      <c r="G977" s="10"/>
    </row>
    <row r="978" spans="1:7">
      <c r="A978" s="11" t="s">
        <v>1647</v>
      </c>
      <c r="B978" s="23">
        <v>1</v>
      </c>
      <c r="C978" s="23">
        <v>0</v>
      </c>
      <c r="D978" s="23">
        <v>0</v>
      </c>
      <c r="E978" s="23">
        <v>0</v>
      </c>
      <c r="F978" s="23">
        <v>0</v>
      </c>
      <c r="G978" s="10"/>
    </row>
    <row r="979" spans="1:7">
      <c r="A979" s="11" t="s">
        <v>1644</v>
      </c>
      <c r="B979" s="23">
        <v>0</v>
      </c>
      <c r="C979" s="23">
        <v>1</v>
      </c>
      <c r="D979" s="23">
        <v>0</v>
      </c>
      <c r="E979" s="23">
        <v>0</v>
      </c>
      <c r="F979" s="23">
        <v>0</v>
      </c>
      <c r="G979" s="10"/>
    </row>
    <row r="980" spans="1:7">
      <c r="A980" s="11" t="s">
        <v>1641</v>
      </c>
      <c r="B980" s="23">
        <v>0</v>
      </c>
      <c r="C980" s="23">
        <v>0</v>
      </c>
      <c r="D980" s="23">
        <v>1</v>
      </c>
      <c r="E980" s="23">
        <v>0</v>
      </c>
      <c r="F980" s="23">
        <v>0</v>
      </c>
      <c r="G980" s="10"/>
    </row>
    <row r="981" spans="1:7">
      <c r="A981" s="17" t="s">
        <v>1649</v>
      </c>
      <c r="G981" s="10"/>
    </row>
    <row r="982" spans="1:7">
      <c r="A982" s="11" t="s">
        <v>1646</v>
      </c>
      <c r="B982" s="23">
        <v>1</v>
      </c>
      <c r="C982" s="23">
        <v>0</v>
      </c>
      <c r="D982" s="23">
        <v>0</v>
      </c>
      <c r="E982" s="23">
        <v>0</v>
      </c>
      <c r="F982" s="23">
        <v>0</v>
      </c>
      <c r="G982" s="10"/>
    </row>
    <row r="983" spans="1:7">
      <c r="A983" s="11" t="s">
        <v>1643</v>
      </c>
      <c r="B983" s="23">
        <v>0</v>
      </c>
      <c r="C983" s="23">
        <v>1</v>
      </c>
      <c r="D983" s="23">
        <v>0</v>
      </c>
      <c r="E983" s="23">
        <v>0</v>
      </c>
      <c r="F983" s="23">
        <v>0</v>
      </c>
      <c r="G983" s="10"/>
    </row>
    <row r="984" spans="1:7">
      <c r="A984" s="11" t="s">
        <v>1640</v>
      </c>
      <c r="B984" s="23">
        <v>0</v>
      </c>
      <c r="C984" s="23">
        <v>0</v>
      </c>
      <c r="D984" s="23">
        <v>1</v>
      </c>
      <c r="E984" s="23">
        <v>0</v>
      </c>
      <c r="F984" s="23">
        <v>0</v>
      </c>
      <c r="G984" s="10"/>
    </row>
    <row r="985" spans="1:7">
      <c r="A985" s="17" t="s">
        <v>169</v>
      </c>
      <c r="G985" s="10"/>
    </row>
    <row r="986" spans="1:7">
      <c r="A986" s="11" t="s">
        <v>98</v>
      </c>
      <c r="B986" s="23">
        <v>1</v>
      </c>
      <c r="C986" s="23">
        <v>0</v>
      </c>
      <c r="D986" s="23">
        <v>0</v>
      </c>
      <c r="E986" s="23">
        <v>0</v>
      </c>
      <c r="F986" s="23">
        <v>0</v>
      </c>
      <c r="G986" s="10"/>
    </row>
    <row r="987" spans="1:7">
      <c r="A987" s="11" t="s">
        <v>170</v>
      </c>
      <c r="B987" s="23">
        <v>0</v>
      </c>
      <c r="C987" s="23">
        <v>1</v>
      </c>
      <c r="D987" s="23">
        <v>0</v>
      </c>
      <c r="E987" s="23">
        <v>0</v>
      </c>
      <c r="F987" s="23">
        <v>0</v>
      </c>
      <c r="G987" s="10"/>
    </row>
    <row r="988" spans="1:7">
      <c r="A988" s="11" t="s">
        <v>171</v>
      </c>
      <c r="B988" s="23">
        <v>0</v>
      </c>
      <c r="C988" s="23">
        <v>0</v>
      </c>
      <c r="D988" s="23">
        <v>1</v>
      </c>
      <c r="E988" s="23">
        <v>0</v>
      </c>
      <c r="F988" s="23">
        <v>0</v>
      </c>
      <c r="G988" s="10"/>
    </row>
    <row r="989" spans="1:7">
      <c r="A989" s="17" t="s">
        <v>172</v>
      </c>
      <c r="G989" s="10"/>
    </row>
    <row r="990" spans="1:7">
      <c r="A990" s="11" t="s">
        <v>99</v>
      </c>
      <c r="B990" s="23">
        <v>1</v>
      </c>
      <c r="C990" s="23">
        <v>0</v>
      </c>
      <c r="D990" s="23">
        <v>0</v>
      </c>
      <c r="E990" s="23">
        <v>0</v>
      </c>
      <c r="F990" s="23">
        <v>0</v>
      </c>
      <c r="G990" s="10"/>
    </row>
    <row r="991" spans="1:7">
      <c r="A991" s="11" t="s">
        <v>173</v>
      </c>
      <c r="B991" s="23">
        <v>0</v>
      </c>
      <c r="C991" s="23">
        <v>0</v>
      </c>
      <c r="D991" s="23">
        <v>0</v>
      </c>
      <c r="E991" s="23">
        <v>1</v>
      </c>
      <c r="F991" s="23">
        <v>0</v>
      </c>
      <c r="G991" s="10"/>
    </row>
    <row r="992" spans="1:7">
      <c r="A992" s="17" t="s">
        <v>174</v>
      </c>
      <c r="G992" s="10"/>
    </row>
    <row r="993" spans="1:7">
      <c r="A993" s="11" t="s">
        <v>111</v>
      </c>
      <c r="B993" s="23">
        <v>1</v>
      </c>
      <c r="C993" s="23">
        <v>0</v>
      </c>
      <c r="D993" s="23">
        <v>0</v>
      </c>
      <c r="E993" s="23">
        <v>0</v>
      </c>
      <c r="F993" s="23">
        <v>0</v>
      </c>
      <c r="G993" s="10"/>
    </row>
    <row r="994" spans="1:7">
      <c r="A994" s="11" t="s">
        <v>175</v>
      </c>
      <c r="B994" s="23">
        <v>0</v>
      </c>
      <c r="C994" s="23">
        <v>0</v>
      </c>
      <c r="D994" s="23">
        <v>0</v>
      </c>
      <c r="E994" s="23">
        <v>0</v>
      </c>
      <c r="F994" s="23">
        <v>1</v>
      </c>
      <c r="G994" s="10"/>
    </row>
    <row r="995" spans="1:7">
      <c r="A995" s="17" t="s">
        <v>176</v>
      </c>
      <c r="G995" s="10"/>
    </row>
    <row r="996" spans="1:7">
      <c r="A996" s="11" t="s">
        <v>131</v>
      </c>
      <c r="B996" s="23">
        <v>1</v>
      </c>
      <c r="C996" s="23">
        <v>0</v>
      </c>
      <c r="D996" s="23">
        <v>0</v>
      </c>
      <c r="E996" s="23">
        <v>0</v>
      </c>
      <c r="F996" s="23">
        <v>0</v>
      </c>
      <c r="G996" s="10"/>
    </row>
    <row r="997" spans="1:7">
      <c r="A997" s="11" t="s">
        <v>177</v>
      </c>
      <c r="B997" s="23">
        <v>0</v>
      </c>
      <c r="C997" s="23">
        <v>1</v>
      </c>
      <c r="D997" s="23">
        <v>0</v>
      </c>
      <c r="E997" s="23">
        <v>0</v>
      </c>
      <c r="F997" s="23">
        <v>0</v>
      </c>
      <c r="G997" s="10"/>
    </row>
    <row r="998" spans="1:7">
      <c r="A998" s="11" t="s">
        <v>178</v>
      </c>
      <c r="B998" s="23">
        <v>0</v>
      </c>
      <c r="C998" s="23">
        <v>0</v>
      </c>
      <c r="D998" s="23">
        <v>1</v>
      </c>
      <c r="E998" s="23">
        <v>0</v>
      </c>
      <c r="F998" s="23">
        <v>0</v>
      </c>
      <c r="G998" s="10"/>
    </row>
    <row r="999" spans="1:7">
      <c r="A999" s="17" t="s">
        <v>179</v>
      </c>
      <c r="G999" s="10"/>
    </row>
    <row r="1000" spans="1:7">
      <c r="A1000" s="11" t="s">
        <v>132</v>
      </c>
      <c r="B1000" s="23">
        <v>1</v>
      </c>
      <c r="C1000" s="23">
        <v>0</v>
      </c>
      <c r="D1000" s="23">
        <v>0</v>
      </c>
      <c r="E1000" s="23">
        <v>0</v>
      </c>
      <c r="F1000" s="23">
        <v>0</v>
      </c>
      <c r="G1000" s="10"/>
    </row>
    <row r="1001" spans="1:7">
      <c r="A1001" s="11" t="s">
        <v>180</v>
      </c>
      <c r="B1001" s="23">
        <v>0</v>
      </c>
      <c r="C1001" s="23">
        <v>1</v>
      </c>
      <c r="D1001" s="23">
        <v>0</v>
      </c>
      <c r="E1001" s="23">
        <v>0</v>
      </c>
      <c r="F1001" s="23">
        <v>0</v>
      </c>
      <c r="G1001" s="10"/>
    </row>
    <row r="1002" spans="1:7">
      <c r="A1002" s="11" t="s">
        <v>181</v>
      </c>
      <c r="B1002" s="23">
        <v>0</v>
      </c>
      <c r="C1002" s="23">
        <v>0</v>
      </c>
      <c r="D1002" s="23">
        <v>1</v>
      </c>
      <c r="E1002" s="23">
        <v>0</v>
      </c>
      <c r="F1002" s="23">
        <v>0</v>
      </c>
      <c r="G1002" s="10"/>
    </row>
    <row r="1003" spans="1:7">
      <c r="A1003" s="17" t="s">
        <v>182</v>
      </c>
      <c r="G1003" s="10"/>
    </row>
    <row r="1004" spans="1:7">
      <c r="A1004" s="11" t="s">
        <v>133</v>
      </c>
      <c r="B1004" s="23">
        <v>1</v>
      </c>
      <c r="C1004" s="23">
        <v>0</v>
      </c>
      <c r="D1004" s="23">
        <v>0</v>
      </c>
      <c r="E1004" s="23">
        <v>0</v>
      </c>
      <c r="F1004" s="23">
        <v>0</v>
      </c>
      <c r="G1004" s="10"/>
    </row>
    <row r="1005" spans="1:7">
      <c r="A1005" s="11" t="s">
        <v>183</v>
      </c>
      <c r="B1005" s="23">
        <v>0</v>
      </c>
      <c r="C1005" s="23">
        <v>1</v>
      </c>
      <c r="D1005" s="23">
        <v>0</v>
      </c>
      <c r="E1005" s="23">
        <v>0</v>
      </c>
      <c r="F1005" s="23">
        <v>0</v>
      </c>
      <c r="G1005" s="10"/>
    </row>
    <row r="1006" spans="1:7">
      <c r="A1006" s="11" t="s">
        <v>184</v>
      </c>
      <c r="B1006" s="23">
        <v>0</v>
      </c>
      <c r="C1006" s="23">
        <v>0</v>
      </c>
      <c r="D1006" s="23">
        <v>1</v>
      </c>
      <c r="E1006" s="23">
        <v>0</v>
      </c>
      <c r="F1006" s="23">
        <v>0</v>
      </c>
      <c r="G1006" s="10"/>
    </row>
    <row r="1007" spans="1:7">
      <c r="A1007" s="17" t="s">
        <v>185</v>
      </c>
      <c r="G1007" s="10"/>
    </row>
    <row r="1008" spans="1:7">
      <c r="A1008" s="11" t="s">
        <v>134</v>
      </c>
      <c r="B1008" s="23">
        <v>1</v>
      </c>
      <c r="C1008" s="23">
        <v>0</v>
      </c>
      <c r="D1008" s="23">
        <v>0</v>
      </c>
      <c r="E1008" s="23">
        <v>0</v>
      </c>
      <c r="F1008" s="23">
        <v>0</v>
      </c>
      <c r="G1008" s="10"/>
    </row>
    <row r="1009" spans="1:7">
      <c r="A1009" s="11" t="s">
        <v>186</v>
      </c>
      <c r="B1009" s="23">
        <v>0</v>
      </c>
      <c r="C1009" s="23">
        <v>1</v>
      </c>
      <c r="D1009" s="23">
        <v>0</v>
      </c>
      <c r="E1009" s="23">
        <v>0</v>
      </c>
      <c r="F1009" s="23">
        <v>0</v>
      </c>
      <c r="G1009" s="10"/>
    </row>
    <row r="1010" spans="1:7">
      <c r="A1010" s="11" t="s">
        <v>187</v>
      </c>
      <c r="B1010" s="23">
        <v>0</v>
      </c>
      <c r="C1010" s="23">
        <v>0</v>
      </c>
      <c r="D1010" s="23">
        <v>1</v>
      </c>
      <c r="E1010" s="23">
        <v>0</v>
      </c>
      <c r="F1010" s="23">
        <v>0</v>
      </c>
      <c r="G1010" s="10"/>
    </row>
    <row r="1011" spans="1:7">
      <c r="A1011" s="17" t="s">
        <v>188</v>
      </c>
      <c r="G1011" s="10"/>
    </row>
    <row r="1012" spans="1:7">
      <c r="A1012" s="11" t="s">
        <v>135</v>
      </c>
      <c r="B1012" s="23">
        <v>1</v>
      </c>
      <c r="C1012" s="23">
        <v>0</v>
      </c>
      <c r="D1012" s="23">
        <v>0</v>
      </c>
      <c r="E1012" s="23">
        <v>0</v>
      </c>
      <c r="F1012" s="23">
        <v>0</v>
      </c>
      <c r="G1012" s="10"/>
    </row>
    <row r="1013" spans="1:7">
      <c r="A1013" s="11" t="s">
        <v>189</v>
      </c>
      <c r="B1013" s="23">
        <v>0</v>
      </c>
      <c r="C1013" s="23">
        <v>1</v>
      </c>
      <c r="D1013" s="23">
        <v>0</v>
      </c>
      <c r="E1013" s="23">
        <v>0</v>
      </c>
      <c r="F1013" s="23">
        <v>0</v>
      </c>
      <c r="G1013" s="10"/>
    </row>
    <row r="1014" spans="1:7">
      <c r="A1014" s="11" t="s">
        <v>190</v>
      </c>
      <c r="B1014" s="23">
        <v>0</v>
      </c>
      <c r="C1014" s="23">
        <v>0</v>
      </c>
      <c r="D1014" s="23">
        <v>1</v>
      </c>
      <c r="E1014" s="23">
        <v>0</v>
      </c>
      <c r="F1014" s="23">
        <v>0</v>
      </c>
      <c r="G1014" s="10"/>
    </row>
    <row r="1015" spans="1:7">
      <c r="A1015" s="17" t="s">
        <v>1648</v>
      </c>
      <c r="G1015" s="10"/>
    </row>
    <row r="1016" spans="1:7">
      <c r="A1016" s="11" t="s">
        <v>1645</v>
      </c>
      <c r="B1016" s="23">
        <v>1</v>
      </c>
      <c r="C1016" s="23">
        <v>0</v>
      </c>
      <c r="D1016" s="23">
        <v>0</v>
      </c>
      <c r="E1016" s="23">
        <v>0</v>
      </c>
      <c r="F1016" s="23">
        <v>0</v>
      </c>
      <c r="G1016" s="10"/>
    </row>
    <row r="1017" spans="1:7">
      <c r="A1017" s="11" t="s">
        <v>1642</v>
      </c>
      <c r="B1017" s="23">
        <v>1</v>
      </c>
      <c r="C1017" s="23">
        <v>0</v>
      </c>
      <c r="D1017" s="23">
        <v>0</v>
      </c>
      <c r="E1017" s="23">
        <v>0</v>
      </c>
      <c r="F1017" s="23">
        <v>0</v>
      </c>
      <c r="G1017" s="10"/>
    </row>
    <row r="1018" spans="1:7">
      <c r="A1018" s="11" t="s">
        <v>1639</v>
      </c>
      <c r="B1018" s="23">
        <v>1</v>
      </c>
      <c r="C1018" s="23">
        <v>0</v>
      </c>
      <c r="D1018" s="23">
        <v>0</v>
      </c>
      <c r="E1018" s="23">
        <v>0</v>
      </c>
      <c r="F1018" s="23">
        <v>0</v>
      </c>
      <c r="G1018" s="10"/>
    </row>
    <row r="1019" spans="1:7">
      <c r="A1019" s="17" t="s">
        <v>191</v>
      </c>
      <c r="G1019" s="10"/>
    </row>
    <row r="1020" spans="1:7">
      <c r="A1020" s="11" t="s">
        <v>100</v>
      </c>
      <c r="B1020" s="23">
        <v>1</v>
      </c>
      <c r="C1020" s="23">
        <v>0</v>
      </c>
      <c r="D1020" s="23">
        <v>0</v>
      </c>
      <c r="E1020" s="23">
        <v>0</v>
      </c>
      <c r="F1020" s="23">
        <v>0</v>
      </c>
      <c r="G1020" s="10"/>
    </row>
    <row r="1021" spans="1:7">
      <c r="A1021" s="11" t="s">
        <v>192</v>
      </c>
      <c r="B1021" s="23">
        <v>1</v>
      </c>
      <c r="C1021" s="23">
        <v>0</v>
      </c>
      <c r="D1021" s="23">
        <v>0</v>
      </c>
      <c r="E1021" s="23">
        <v>0</v>
      </c>
      <c r="F1021" s="23">
        <v>0</v>
      </c>
      <c r="G1021" s="10"/>
    </row>
    <row r="1022" spans="1:7">
      <c r="A1022" s="17" t="s">
        <v>193</v>
      </c>
      <c r="G1022" s="10"/>
    </row>
    <row r="1023" spans="1:7">
      <c r="A1023" s="11" t="s">
        <v>101</v>
      </c>
      <c r="B1023" s="23">
        <v>1</v>
      </c>
      <c r="C1023" s="23">
        <v>0</v>
      </c>
      <c r="D1023" s="23">
        <v>0</v>
      </c>
      <c r="E1023" s="23">
        <v>0</v>
      </c>
      <c r="F1023" s="23">
        <v>0</v>
      </c>
      <c r="G1023" s="10"/>
    </row>
    <row r="1024" spans="1:7">
      <c r="A1024" s="11" t="s">
        <v>194</v>
      </c>
      <c r="B1024" s="23">
        <v>1</v>
      </c>
      <c r="C1024" s="23">
        <v>0</v>
      </c>
      <c r="D1024" s="23">
        <v>0</v>
      </c>
      <c r="E1024" s="23">
        <v>0</v>
      </c>
      <c r="F1024" s="23">
        <v>0</v>
      </c>
      <c r="G1024" s="10"/>
    </row>
    <row r="1025" spans="1:7">
      <c r="A1025" s="11" t="s">
        <v>195</v>
      </c>
      <c r="B1025" s="23">
        <v>1</v>
      </c>
      <c r="C1025" s="23">
        <v>0</v>
      </c>
      <c r="D1025" s="23">
        <v>0</v>
      </c>
      <c r="E1025" s="23">
        <v>0</v>
      </c>
      <c r="F1025" s="23">
        <v>0</v>
      </c>
      <c r="G1025" s="10"/>
    </row>
    <row r="1026" spans="1:7">
      <c r="A1026" s="17" t="s">
        <v>196</v>
      </c>
      <c r="G1026" s="10"/>
    </row>
    <row r="1027" spans="1:7">
      <c r="A1027" s="11" t="s">
        <v>102</v>
      </c>
      <c r="B1027" s="23">
        <v>1</v>
      </c>
      <c r="C1027" s="23">
        <v>0</v>
      </c>
      <c r="D1027" s="23">
        <v>0</v>
      </c>
      <c r="E1027" s="23">
        <v>0</v>
      </c>
      <c r="F1027" s="23">
        <v>0</v>
      </c>
      <c r="G1027" s="10"/>
    </row>
    <row r="1028" spans="1:7">
      <c r="A1028" s="11" t="s">
        <v>197</v>
      </c>
      <c r="B1028" s="23">
        <v>1</v>
      </c>
      <c r="C1028" s="23">
        <v>0</v>
      </c>
      <c r="D1028" s="23">
        <v>0</v>
      </c>
      <c r="E1028" s="23">
        <v>0</v>
      </c>
      <c r="F1028" s="23">
        <v>0</v>
      </c>
      <c r="G1028" s="10"/>
    </row>
    <row r="1029" spans="1:7">
      <c r="A1029" s="11" t="s">
        <v>198</v>
      </c>
      <c r="B1029" s="23">
        <v>1</v>
      </c>
      <c r="C1029" s="23">
        <v>0</v>
      </c>
      <c r="D1029" s="23">
        <v>0</v>
      </c>
      <c r="E1029" s="23">
        <v>0</v>
      </c>
      <c r="F1029" s="23">
        <v>0</v>
      </c>
      <c r="G1029" s="10"/>
    </row>
    <row r="1030" spans="1:7">
      <c r="A1030" s="17" t="s">
        <v>199</v>
      </c>
      <c r="G1030" s="10"/>
    </row>
    <row r="1031" spans="1:7">
      <c r="A1031" s="11" t="s">
        <v>103</v>
      </c>
      <c r="B1031" s="23">
        <v>1</v>
      </c>
      <c r="C1031" s="23">
        <v>0</v>
      </c>
      <c r="D1031" s="23">
        <v>0</v>
      </c>
      <c r="E1031" s="23">
        <v>0</v>
      </c>
      <c r="F1031" s="23">
        <v>0</v>
      </c>
      <c r="G1031" s="10"/>
    </row>
    <row r="1032" spans="1:7">
      <c r="A1032" s="11" t="s">
        <v>200</v>
      </c>
      <c r="B1032" s="23">
        <v>1</v>
      </c>
      <c r="C1032" s="23">
        <v>0</v>
      </c>
      <c r="D1032" s="23">
        <v>0</v>
      </c>
      <c r="E1032" s="23">
        <v>0</v>
      </c>
      <c r="F1032" s="23">
        <v>0</v>
      </c>
      <c r="G1032" s="10"/>
    </row>
    <row r="1033" spans="1:7">
      <c r="A1033" s="17" t="s">
        <v>201</v>
      </c>
      <c r="G1033" s="10"/>
    </row>
    <row r="1034" spans="1:7">
      <c r="A1034" s="11" t="s">
        <v>104</v>
      </c>
      <c r="B1034" s="23">
        <v>1</v>
      </c>
      <c r="C1034" s="23">
        <v>0</v>
      </c>
      <c r="D1034" s="23">
        <v>0</v>
      </c>
      <c r="E1034" s="23">
        <v>0</v>
      </c>
      <c r="F1034" s="23">
        <v>0</v>
      </c>
      <c r="G1034" s="10"/>
    </row>
    <row r="1035" spans="1:7">
      <c r="A1035" s="11" t="s">
        <v>202</v>
      </c>
      <c r="B1035" s="23">
        <v>1</v>
      </c>
      <c r="C1035" s="23">
        <v>0</v>
      </c>
      <c r="D1035" s="23">
        <v>0</v>
      </c>
      <c r="E1035" s="23">
        <v>0</v>
      </c>
      <c r="F1035" s="23">
        <v>0</v>
      </c>
      <c r="G1035" s="10"/>
    </row>
    <row r="1036" spans="1:7">
      <c r="A1036" s="17" t="s">
        <v>203</v>
      </c>
      <c r="G1036" s="10"/>
    </row>
    <row r="1037" spans="1:7">
      <c r="A1037" s="11" t="s">
        <v>112</v>
      </c>
      <c r="B1037" s="23">
        <v>1</v>
      </c>
      <c r="C1037" s="23">
        <v>0</v>
      </c>
      <c r="D1037" s="23">
        <v>0</v>
      </c>
      <c r="E1037" s="23">
        <v>0</v>
      </c>
      <c r="F1037" s="23">
        <v>0</v>
      </c>
      <c r="G1037" s="10"/>
    </row>
    <row r="1038" spans="1:7">
      <c r="A1038" s="11" t="s">
        <v>204</v>
      </c>
      <c r="B1038" s="23">
        <v>1</v>
      </c>
      <c r="C1038" s="23">
        <v>0</v>
      </c>
      <c r="D1038" s="23">
        <v>0</v>
      </c>
      <c r="E1038" s="23">
        <v>0</v>
      </c>
      <c r="F1038" s="23">
        <v>0</v>
      </c>
      <c r="G1038" s="10"/>
    </row>
    <row r="1039" spans="1:7">
      <c r="A1039" s="17" t="s">
        <v>205</v>
      </c>
      <c r="G1039" s="10"/>
    </row>
    <row r="1040" spans="1:7">
      <c r="A1040" s="11" t="s">
        <v>113</v>
      </c>
      <c r="B1040" s="23">
        <v>1</v>
      </c>
      <c r="C1040" s="23">
        <v>0</v>
      </c>
      <c r="D1040" s="23">
        <v>0</v>
      </c>
      <c r="E1040" s="23">
        <v>0</v>
      </c>
      <c r="F1040" s="23">
        <v>0</v>
      </c>
      <c r="G1040" s="10"/>
    </row>
    <row r="1041" spans="1:9">
      <c r="A1041" s="11" t="s">
        <v>206</v>
      </c>
      <c r="B1041" s="23">
        <v>1</v>
      </c>
      <c r="C1041" s="23">
        <v>0</v>
      </c>
      <c r="D1041" s="23">
        <v>0</v>
      </c>
      <c r="E1041" s="23">
        <v>0</v>
      </c>
      <c r="F1041" s="23">
        <v>0</v>
      </c>
      <c r="G1041" s="10"/>
    </row>
    <row r="1043" spans="1:9" ht="21" customHeight="1">
      <c r="A1043" s="1" t="s">
        <v>407</v>
      </c>
    </row>
    <row r="1044" spans="1:9">
      <c r="A1044" s="2" t="s">
        <v>255</v>
      </c>
    </row>
    <row r="1045" spans="1:9">
      <c r="A1045" s="12" t="s">
        <v>408</v>
      </c>
    </row>
    <row r="1046" spans="1:9">
      <c r="A1046" s="12" t="s">
        <v>409</v>
      </c>
    </row>
    <row r="1047" spans="1:9">
      <c r="A1047" s="2" t="s">
        <v>410</v>
      </c>
    </row>
    <row r="1048" spans="1:9">
      <c r="A1048" s="12" t="s">
        <v>411</v>
      </c>
    </row>
    <row r="1049" spans="1:9">
      <c r="A1049" s="12" t="s">
        <v>412</v>
      </c>
    </row>
    <row r="1050" spans="1:9">
      <c r="A1050" s="12" t="s">
        <v>413</v>
      </c>
    </row>
    <row r="1051" spans="1:9">
      <c r="A1051" s="12" t="s">
        <v>414</v>
      </c>
    </row>
    <row r="1052" spans="1:9">
      <c r="A1052" s="12" t="s">
        <v>415</v>
      </c>
    </row>
    <row r="1053" spans="1:9">
      <c r="A1053" s="12" t="s">
        <v>416</v>
      </c>
    </row>
    <row r="1054" spans="1:9">
      <c r="A1054" s="12" t="s">
        <v>417</v>
      </c>
    </row>
    <row r="1055" spans="1:9">
      <c r="A1055" s="12" t="s">
        <v>418</v>
      </c>
    </row>
    <row r="1056" spans="1:9">
      <c r="A1056" s="21" t="s">
        <v>258</v>
      </c>
      <c r="B1056" s="21" t="s">
        <v>260</v>
      </c>
      <c r="C1056" s="21" t="s">
        <v>419</v>
      </c>
      <c r="D1056" s="21" t="s">
        <v>385</v>
      </c>
      <c r="E1056" s="21" t="s">
        <v>385</v>
      </c>
      <c r="F1056" s="21" t="s">
        <v>385</v>
      </c>
      <c r="G1056" s="21" t="s">
        <v>385</v>
      </c>
      <c r="H1056" s="21" t="s">
        <v>385</v>
      </c>
      <c r="I1056" s="21" t="s">
        <v>385</v>
      </c>
    </row>
    <row r="1057" spans="1:10">
      <c r="A1057" s="21" t="s">
        <v>261</v>
      </c>
      <c r="B1057" s="21" t="s">
        <v>263</v>
      </c>
      <c r="C1057" s="21" t="s">
        <v>420</v>
      </c>
      <c r="D1057" s="21" t="s">
        <v>421</v>
      </c>
      <c r="E1057" s="21" t="s">
        <v>422</v>
      </c>
      <c r="F1057" s="21" t="s">
        <v>423</v>
      </c>
      <c r="G1057" s="21" t="s">
        <v>424</v>
      </c>
      <c r="H1057" s="21" t="s">
        <v>425</v>
      </c>
      <c r="I1057" s="21" t="s">
        <v>426</v>
      </c>
    </row>
    <row r="1059" spans="1:10" ht="30">
      <c r="B1059" s="3" t="s">
        <v>427</v>
      </c>
      <c r="C1059" s="3" t="s">
        <v>428</v>
      </c>
      <c r="D1059" s="3" t="s">
        <v>140</v>
      </c>
      <c r="E1059" s="3" t="s">
        <v>141</v>
      </c>
      <c r="F1059" s="3" t="s">
        <v>142</v>
      </c>
      <c r="G1059" s="3" t="s">
        <v>143</v>
      </c>
      <c r="H1059" s="3" t="s">
        <v>144</v>
      </c>
      <c r="I1059" s="3" t="s">
        <v>145</v>
      </c>
    </row>
    <row r="1060" spans="1:10">
      <c r="A1060" s="17" t="s">
        <v>146</v>
      </c>
      <c r="J1060" s="10"/>
    </row>
    <row r="1061" spans="1:10">
      <c r="A1061" s="11" t="s">
        <v>92</v>
      </c>
      <c r="B1061" s="24">
        <f>SUMPRODUCT($B946:$F946,$B$110:$F$110)</f>
        <v>0</v>
      </c>
      <c r="C1061" s="26">
        <f>B1061</f>
        <v>0</v>
      </c>
      <c r="D1061" s="6">
        <f>B143*(1-B1061)</f>
        <v>3242264.655750392</v>
      </c>
      <c r="E1061" s="6">
        <f>C143*(1-B1061)</f>
        <v>0</v>
      </c>
      <c r="F1061" s="6">
        <f t="shared" ref="F1061:G1063" si="74">D143*(1-B1061)</f>
        <v>0</v>
      </c>
      <c r="G1061" s="6">
        <f t="shared" si="74"/>
        <v>964740</v>
      </c>
      <c r="H1061" s="6">
        <f>F143*(1-B1061)</f>
        <v>0</v>
      </c>
      <c r="I1061" s="6">
        <f>G143*(1-B1061)</f>
        <v>0</v>
      </c>
      <c r="J1061" s="10"/>
    </row>
    <row r="1062" spans="1:10">
      <c r="A1062" s="11" t="s">
        <v>147</v>
      </c>
      <c r="B1062" s="24">
        <f>SUMPRODUCT($B947:$F947,$B$110:$F$110)</f>
        <v>0.31963777193131604</v>
      </c>
      <c r="C1062" s="26">
        <f>B1062</f>
        <v>0.31963777193131604</v>
      </c>
      <c r="D1062" s="6">
        <f>B144*(1-B1062)</f>
        <v>1952.8675056322136</v>
      </c>
      <c r="E1062" s="6">
        <f>C144*(1-B1062)</f>
        <v>0</v>
      </c>
      <c r="F1062" s="6">
        <f t="shared" si="74"/>
        <v>0</v>
      </c>
      <c r="G1062" s="6">
        <f t="shared" si="74"/>
        <v>607.56346966533476</v>
      </c>
      <c r="H1062" s="6">
        <f>F144*(1-B1062)</f>
        <v>0</v>
      </c>
      <c r="I1062" s="6">
        <f>G144*(1-B1062)</f>
        <v>0</v>
      </c>
      <c r="J1062" s="10"/>
    </row>
    <row r="1063" spans="1:10">
      <c r="A1063" s="11" t="s">
        <v>148</v>
      </c>
      <c r="B1063" s="24">
        <f>SUMPRODUCT($B948:$F948,$B$110:$F$110)</f>
        <v>0.63846715658715969</v>
      </c>
      <c r="C1063" s="26">
        <f>B1063</f>
        <v>0.63846715658715969</v>
      </c>
      <c r="D1063" s="6">
        <f>B145*(1-B1063)</f>
        <v>4113.0966675310374</v>
      </c>
      <c r="E1063" s="6">
        <f>C145*(1-B1063)</f>
        <v>0</v>
      </c>
      <c r="F1063" s="6">
        <f t="shared" si="74"/>
        <v>0</v>
      </c>
      <c r="G1063" s="6">
        <f t="shared" si="74"/>
        <v>1389.3707172355453</v>
      </c>
      <c r="H1063" s="6">
        <f>F145*(1-B1063)</f>
        <v>0</v>
      </c>
      <c r="I1063" s="6">
        <f>G145*(1-B1063)</f>
        <v>0</v>
      </c>
      <c r="J1063" s="10"/>
    </row>
    <row r="1064" spans="1:10">
      <c r="A1064" s="17" t="s">
        <v>149</v>
      </c>
      <c r="J1064" s="10"/>
    </row>
    <row r="1065" spans="1:10">
      <c r="A1065" s="11" t="s">
        <v>93</v>
      </c>
      <c r="B1065" s="24">
        <f>SUMPRODUCT($B950:$F950,$B$110:$F$110)</f>
        <v>0</v>
      </c>
      <c r="C1065" s="26">
        <f>B1065</f>
        <v>0</v>
      </c>
      <c r="D1065" s="6">
        <f>B147*(1-B1065)</f>
        <v>174847.88943573163</v>
      </c>
      <c r="E1065" s="6">
        <f>C147*(1-B1065)</f>
        <v>180701.55632797108</v>
      </c>
      <c r="F1065" s="6">
        <f t="shared" ref="F1065:G1067" si="75">D147*(1-B1065)</f>
        <v>0</v>
      </c>
      <c r="G1065" s="6">
        <f t="shared" si="75"/>
        <v>58083</v>
      </c>
      <c r="H1065" s="6">
        <f>F147*(1-B1065)</f>
        <v>0</v>
      </c>
      <c r="I1065" s="6">
        <f>G147*(1-B1065)</f>
        <v>0</v>
      </c>
      <c r="J1065" s="10"/>
    </row>
    <row r="1066" spans="1:10">
      <c r="A1066" s="11" t="s">
        <v>150</v>
      </c>
      <c r="B1066" s="24">
        <f>SUMPRODUCT($B951:$F951,$B$110:$F$110)</f>
        <v>0.31963777193131604</v>
      </c>
      <c r="C1066" s="26">
        <f>B1066</f>
        <v>0.31963777193131604</v>
      </c>
      <c r="D1066" s="6">
        <f>B148*(1-B1066)</f>
        <v>178.92655206610675</v>
      </c>
      <c r="E1066" s="6">
        <f>C148*(1-B1066)</f>
        <v>4480.6407945201418</v>
      </c>
      <c r="F1066" s="6">
        <f t="shared" si="75"/>
        <v>0</v>
      </c>
      <c r="G1066" s="6">
        <f t="shared" si="75"/>
        <v>14.287606789442362</v>
      </c>
      <c r="H1066" s="6">
        <f>F148*(1-B1066)</f>
        <v>0</v>
      </c>
      <c r="I1066" s="6">
        <f>G148*(1-B1066)</f>
        <v>0</v>
      </c>
      <c r="J1066" s="10"/>
    </row>
    <row r="1067" spans="1:10">
      <c r="A1067" s="11" t="s">
        <v>151</v>
      </c>
      <c r="B1067" s="24">
        <f>SUMPRODUCT($B952:$F952,$B$110:$F$110)</f>
        <v>0.63846715658715969</v>
      </c>
      <c r="C1067" s="26">
        <f>B1067</f>
        <v>0.63846715658715969</v>
      </c>
      <c r="D1067" s="6">
        <f>B149*(1-B1067)</f>
        <v>92.661092658985993</v>
      </c>
      <c r="E1067" s="6">
        <f>C149*(1-B1067)</f>
        <v>126.49105251330656</v>
      </c>
      <c r="F1067" s="6">
        <f t="shared" si="75"/>
        <v>0</v>
      </c>
      <c r="G1067" s="6">
        <f t="shared" si="75"/>
        <v>28.922627473027227</v>
      </c>
      <c r="H1067" s="6">
        <f>F149*(1-B1067)</f>
        <v>0</v>
      </c>
      <c r="I1067" s="6">
        <f>G149*(1-B1067)</f>
        <v>0</v>
      </c>
      <c r="J1067" s="10"/>
    </row>
    <row r="1068" spans="1:10">
      <c r="A1068" s="17" t="s">
        <v>152</v>
      </c>
      <c r="J1068" s="10"/>
    </row>
    <row r="1069" spans="1:10">
      <c r="A1069" s="11" t="s">
        <v>129</v>
      </c>
      <c r="B1069" s="24">
        <f>SUMPRODUCT($B954:$F954,$B$110:$F$110)</f>
        <v>0</v>
      </c>
      <c r="C1069" s="26">
        <f>B1069</f>
        <v>0</v>
      </c>
      <c r="D1069" s="6">
        <f>B151*(1-B1069)</f>
        <v>3613.1440975729997</v>
      </c>
      <c r="E1069" s="6">
        <f>C151*(1-B1069)</f>
        <v>0</v>
      </c>
      <c r="F1069" s="6">
        <f t="shared" ref="F1069:G1071" si="76">D151*(1-B1069)</f>
        <v>0</v>
      </c>
      <c r="G1069" s="6">
        <f t="shared" si="76"/>
        <v>0</v>
      </c>
      <c r="H1069" s="6">
        <f>F151*(1-B1069)</f>
        <v>0</v>
      </c>
      <c r="I1069" s="6">
        <f>G151*(1-B1069)</f>
        <v>0</v>
      </c>
      <c r="J1069" s="10"/>
    </row>
    <row r="1070" spans="1:10">
      <c r="A1070" s="11" t="s">
        <v>153</v>
      </c>
      <c r="B1070" s="24">
        <f>SUMPRODUCT($B955:$F955,$B$110:$F$110)</f>
        <v>0.31963777193131604</v>
      </c>
      <c r="C1070" s="26">
        <f>B1070</f>
        <v>0.31963777193131604</v>
      </c>
      <c r="D1070" s="6">
        <f>B152*(1-B1070)</f>
        <v>0</v>
      </c>
      <c r="E1070" s="6">
        <f>C152*(1-B1070)</f>
        <v>0</v>
      </c>
      <c r="F1070" s="6">
        <f t="shared" si="76"/>
        <v>0</v>
      </c>
      <c r="G1070" s="6">
        <f t="shared" si="76"/>
        <v>0</v>
      </c>
      <c r="H1070" s="6">
        <f>F152*(1-B1070)</f>
        <v>0</v>
      </c>
      <c r="I1070" s="6">
        <f>G152*(1-B1070)</f>
        <v>0</v>
      </c>
      <c r="J1070" s="10"/>
    </row>
    <row r="1071" spans="1:10">
      <c r="A1071" s="11" t="s">
        <v>154</v>
      </c>
      <c r="B1071" s="24">
        <f>SUMPRODUCT($B956:$F956,$B$110:$F$110)</f>
        <v>0.63846715658715969</v>
      </c>
      <c r="C1071" s="26">
        <f>B1071</f>
        <v>0.63846715658715969</v>
      </c>
      <c r="D1071" s="6">
        <f>B153*(1-B1071)</f>
        <v>0</v>
      </c>
      <c r="E1071" s="6">
        <f>C153*(1-B1071)</f>
        <v>0</v>
      </c>
      <c r="F1071" s="6">
        <f t="shared" si="76"/>
        <v>0</v>
      </c>
      <c r="G1071" s="6">
        <f t="shared" si="76"/>
        <v>0</v>
      </c>
      <c r="H1071" s="6">
        <f>F153*(1-B1071)</f>
        <v>0</v>
      </c>
      <c r="I1071" s="6">
        <f>G153*(1-B1071)</f>
        <v>0</v>
      </c>
      <c r="J1071" s="10"/>
    </row>
    <row r="1072" spans="1:10">
      <c r="A1072" s="17" t="s">
        <v>155</v>
      </c>
      <c r="J1072" s="10"/>
    </row>
    <row r="1073" spans="1:10">
      <c r="A1073" s="11" t="s">
        <v>94</v>
      </c>
      <c r="B1073" s="24">
        <f>SUMPRODUCT($B958:$F958,$B$110:$F$110)</f>
        <v>0</v>
      </c>
      <c r="C1073" s="26">
        <f>B1073</f>
        <v>0</v>
      </c>
      <c r="D1073" s="6">
        <f>B155*(1-B1073)</f>
        <v>823197.95863007847</v>
      </c>
      <c r="E1073" s="6">
        <f>C155*(1-B1073)</f>
        <v>0</v>
      </c>
      <c r="F1073" s="6">
        <f t="shared" ref="F1073:G1075" si="77">D155*(1-B1073)</f>
        <v>0</v>
      </c>
      <c r="G1073" s="6">
        <f t="shared" si="77"/>
        <v>63787</v>
      </c>
      <c r="H1073" s="6">
        <f>F155*(1-B1073)</f>
        <v>0</v>
      </c>
      <c r="I1073" s="6">
        <f>G155*(1-B1073)</f>
        <v>0</v>
      </c>
      <c r="J1073" s="10"/>
    </row>
    <row r="1074" spans="1:10">
      <c r="A1074" s="11" t="s">
        <v>156</v>
      </c>
      <c r="B1074" s="24">
        <f>SUMPRODUCT($B959:$F959,$B$110:$F$110)</f>
        <v>0.31963777193131604</v>
      </c>
      <c r="C1074" s="26">
        <f>B1074</f>
        <v>0.31963777193131604</v>
      </c>
      <c r="D1074" s="6">
        <f>B156*(1-B1074)</f>
        <v>38.606212084582005</v>
      </c>
      <c r="E1074" s="6">
        <f>C156*(1-B1074)</f>
        <v>0</v>
      </c>
      <c r="F1074" s="6">
        <f t="shared" si="77"/>
        <v>0</v>
      </c>
      <c r="G1074" s="6">
        <f t="shared" si="77"/>
        <v>2.7214489122747358</v>
      </c>
      <c r="H1074" s="6">
        <f>F156*(1-B1074)</f>
        <v>0</v>
      </c>
      <c r="I1074" s="6">
        <f>G156*(1-B1074)</f>
        <v>0</v>
      </c>
      <c r="J1074" s="10"/>
    </row>
    <row r="1075" spans="1:10">
      <c r="A1075" s="11" t="s">
        <v>157</v>
      </c>
      <c r="B1075" s="24">
        <f>SUMPRODUCT($B960:$F960,$B$110:$F$110)</f>
        <v>0.63846715658715969</v>
      </c>
      <c r="C1075" s="26">
        <f>B1075</f>
        <v>0.63846715658715969</v>
      </c>
      <c r="D1075" s="6">
        <f>B157*(1-B1075)</f>
        <v>982.31716050549949</v>
      </c>
      <c r="E1075" s="6">
        <f>C157*(1-B1075)</f>
        <v>0</v>
      </c>
      <c r="F1075" s="6">
        <f t="shared" si="77"/>
        <v>0</v>
      </c>
      <c r="G1075" s="6">
        <f t="shared" si="77"/>
        <v>39.768612775412436</v>
      </c>
      <c r="H1075" s="6">
        <f>F157*(1-B1075)</f>
        <v>0</v>
      </c>
      <c r="I1075" s="6">
        <f>G157*(1-B1075)</f>
        <v>0</v>
      </c>
      <c r="J1075" s="10"/>
    </row>
    <row r="1076" spans="1:10">
      <c r="A1076" s="17" t="s">
        <v>158</v>
      </c>
      <c r="J1076" s="10"/>
    </row>
    <row r="1077" spans="1:10">
      <c r="A1077" s="11" t="s">
        <v>95</v>
      </c>
      <c r="B1077" s="24">
        <f>SUMPRODUCT($B962:$F962,$B$110:$F$110)</f>
        <v>0</v>
      </c>
      <c r="C1077" s="26">
        <f>B1077</f>
        <v>0</v>
      </c>
      <c r="D1077" s="6">
        <f>B159*(1-B1077)</f>
        <v>206801.40932707267</v>
      </c>
      <c r="E1077" s="6">
        <f>C159*(1-B1077)</f>
        <v>92825.537560705707</v>
      </c>
      <c r="F1077" s="6">
        <f t="shared" ref="F1077:G1079" si="78">D159*(1-B1077)</f>
        <v>0</v>
      </c>
      <c r="G1077" s="6">
        <f t="shared" si="78"/>
        <v>13441</v>
      </c>
      <c r="H1077" s="6">
        <f>F159*(1-B1077)</f>
        <v>0</v>
      </c>
      <c r="I1077" s="6">
        <f>G159*(1-B1077)</f>
        <v>0</v>
      </c>
      <c r="J1077" s="10"/>
    </row>
    <row r="1078" spans="1:10">
      <c r="A1078" s="11" t="s">
        <v>159</v>
      </c>
      <c r="B1078" s="24">
        <f>SUMPRODUCT($B963:$F963,$B$110:$F$110)</f>
        <v>0.31963777193131604</v>
      </c>
      <c r="C1078" s="26">
        <f>B1078</f>
        <v>0.31963777193131604</v>
      </c>
      <c r="D1078" s="6">
        <f>B160*(1-B1078)</f>
        <v>0</v>
      </c>
      <c r="E1078" s="6">
        <f>C160*(1-B1078)</f>
        <v>0</v>
      </c>
      <c r="F1078" s="6">
        <f t="shared" si="78"/>
        <v>0</v>
      </c>
      <c r="G1078" s="6">
        <f t="shared" si="78"/>
        <v>0</v>
      </c>
      <c r="H1078" s="6">
        <f>F160*(1-B1078)</f>
        <v>0</v>
      </c>
      <c r="I1078" s="6">
        <f>G160*(1-B1078)</f>
        <v>0</v>
      </c>
      <c r="J1078" s="10"/>
    </row>
    <row r="1079" spans="1:10">
      <c r="A1079" s="11" t="s">
        <v>160</v>
      </c>
      <c r="B1079" s="24">
        <f>SUMPRODUCT($B964:$F964,$B$110:$F$110)</f>
        <v>0.63846715658715969</v>
      </c>
      <c r="C1079" s="26">
        <f>B1079</f>
        <v>0.63846715658715969</v>
      </c>
      <c r="D1079" s="6">
        <f>B161*(1-B1079)</f>
        <v>305.64756920834776</v>
      </c>
      <c r="E1079" s="6">
        <f>C161*(1-B1079)</f>
        <v>39.878697880020255</v>
      </c>
      <c r="F1079" s="6">
        <f t="shared" si="78"/>
        <v>0</v>
      </c>
      <c r="G1079" s="6">
        <f t="shared" si="78"/>
        <v>3.2537955907155629</v>
      </c>
      <c r="H1079" s="6">
        <f>F161*(1-B1079)</f>
        <v>0</v>
      </c>
      <c r="I1079" s="6">
        <f>G161*(1-B1079)</f>
        <v>0</v>
      </c>
      <c r="J1079" s="10"/>
    </row>
    <row r="1080" spans="1:10">
      <c r="A1080" s="17" t="s">
        <v>161</v>
      </c>
      <c r="J1080" s="10"/>
    </row>
    <row r="1081" spans="1:10">
      <c r="A1081" s="11" t="s">
        <v>130</v>
      </c>
      <c r="B1081" s="24">
        <f>SUMPRODUCT($B966:$F966,$B$110:$F$110)</f>
        <v>0</v>
      </c>
      <c r="C1081" s="26">
        <f>B1081</f>
        <v>0</v>
      </c>
      <c r="D1081" s="6">
        <f>B163*(1-B1081)</f>
        <v>2262.2093594051807</v>
      </c>
      <c r="E1081" s="6">
        <f>C163*(1-B1081)</f>
        <v>0</v>
      </c>
      <c r="F1081" s="6">
        <f t="shared" ref="F1081:G1083" si="79">D163*(1-B1081)</f>
        <v>0</v>
      </c>
      <c r="G1081" s="6">
        <f t="shared" si="79"/>
        <v>0</v>
      </c>
      <c r="H1081" s="6">
        <f>F163*(1-B1081)</f>
        <v>0</v>
      </c>
      <c r="I1081" s="6">
        <f>G163*(1-B1081)</f>
        <v>0</v>
      </c>
      <c r="J1081" s="10"/>
    </row>
    <row r="1082" spans="1:10" ht="30">
      <c r="A1082" s="11" t="s">
        <v>162</v>
      </c>
      <c r="B1082" s="24">
        <f>SUMPRODUCT($B967:$F967,$B$110:$F$110)</f>
        <v>0.31963777193131604</v>
      </c>
      <c r="C1082" s="26">
        <f>B1082</f>
        <v>0.31963777193131604</v>
      </c>
      <c r="D1082" s="6">
        <f>B164*(1-B1082)</f>
        <v>0</v>
      </c>
      <c r="E1082" s="6">
        <f>C164*(1-B1082)</f>
        <v>0</v>
      </c>
      <c r="F1082" s="6">
        <f t="shared" si="79"/>
        <v>0</v>
      </c>
      <c r="G1082" s="6">
        <f t="shared" si="79"/>
        <v>0</v>
      </c>
      <c r="H1082" s="6">
        <f>F164*(1-B1082)</f>
        <v>0</v>
      </c>
      <c r="I1082" s="6">
        <f>G164*(1-B1082)</f>
        <v>0</v>
      </c>
      <c r="J1082" s="10"/>
    </row>
    <row r="1083" spans="1:10" ht="30">
      <c r="A1083" s="11" t="s">
        <v>163</v>
      </c>
      <c r="B1083" s="24">
        <f>SUMPRODUCT($B968:$F968,$B$110:$F$110)</f>
        <v>0.63846715658715969</v>
      </c>
      <c r="C1083" s="26">
        <f>B1083</f>
        <v>0.63846715658715969</v>
      </c>
      <c r="D1083" s="6">
        <f>B165*(1-B1083)</f>
        <v>0</v>
      </c>
      <c r="E1083" s="6">
        <f>C165*(1-B1083)</f>
        <v>0</v>
      </c>
      <c r="F1083" s="6">
        <f t="shared" si="79"/>
        <v>0</v>
      </c>
      <c r="G1083" s="6">
        <f t="shared" si="79"/>
        <v>0</v>
      </c>
      <c r="H1083" s="6">
        <f>F165*(1-B1083)</f>
        <v>0</v>
      </c>
      <c r="I1083" s="6">
        <f>G165*(1-B1083)</f>
        <v>0</v>
      </c>
      <c r="J1083" s="10"/>
    </row>
    <row r="1084" spans="1:10">
      <c r="A1084" s="17" t="s">
        <v>164</v>
      </c>
      <c r="J1084" s="10"/>
    </row>
    <row r="1085" spans="1:10">
      <c r="A1085" s="11" t="s">
        <v>96</v>
      </c>
      <c r="B1085" s="24">
        <f>SUMPRODUCT($B970:$F970,$B$110:$F$110)</f>
        <v>0</v>
      </c>
      <c r="C1085" s="26">
        <f>B1085</f>
        <v>0</v>
      </c>
      <c r="D1085" s="6">
        <f>B167*(1-B1085)</f>
        <v>379857.67107737559</v>
      </c>
      <c r="E1085" s="6">
        <f>C167*(1-B1085)</f>
        <v>99896.639824048034</v>
      </c>
      <c r="F1085" s="6">
        <f t="shared" ref="F1085:G1087" si="80">D167*(1-B1085)</f>
        <v>0</v>
      </c>
      <c r="G1085" s="6">
        <f t="shared" si="80"/>
        <v>4728</v>
      </c>
      <c r="H1085" s="6">
        <f>F167*(1-B1085)</f>
        <v>0</v>
      </c>
      <c r="I1085" s="6">
        <f>G167*(1-B1085)</f>
        <v>0</v>
      </c>
      <c r="J1085" s="10"/>
    </row>
    <row r="1086" spans="1:10">
      <c r="A1086" s="11" t="s">
        <v>165</v>
      </c>
      <c r="B1086" s="24">
        <f>SUMPRODUCT($B971:$F971,$B$110:$F$110)</f>
        <v>0.31963777193131604</v>
      </c>
      <c r="C1086" s="26">
        <f>B1086</f>
        <v>0.31963777193131604</v>
      </c>
      <c r="D1086" s="6">
        <f>B168*(1-B1086)</f>
        <v>0</v>
      </c>
      <c r="E1086" s="6">
        <f>C168*(1-B1086)</f>
        <v>0</v>
      </c>
      <c r="F1086" s="6">
        <f t="shared" si="80"/>
        <v>0</v>
      </c>
      <c r="G1086" s="6">
        <f t="shared" si="80"/>
        <v>0</v>
      </c>
      <c r="H1086" s="6">
        <f>F168*(1-B1086)</f>
        <v>0</v>
      </c>
      <c r="I1086" s="6">
        <f>G168*(1-B1086)</f>
        <v>0</v>
      </c>
      <c r="J1086" s="10"/>
    </row>
    <row r="1087" spans="1:10">
      <c r="A1087" s="11" t="s">
        <v>166</v>
      </c>
      <c r="B1087" s="24">
        <f>SUMPRODUCT($B972:$F972,$B$110:$F$110)</f>
        <v>0.63846715658715969</v>
      </c>
      <c r="C1087" s="26">
        <f>B1087</f>
        <v>0.63846715658715969</v>
      </c>
      <c r="D1087" s="6">
        <f>B169*(1-B1087)</f>
        <v>395.67790078807275</v>
      </c>
      <c r="E1087" s="6">
        <f>C169*(1-B1087)</f>
        <v>52.369416507399507</v>
      </c>
      <c r="F1087" s="6">
        <f t="shared" si="80"/>
        <v>0</v>
      </c>
      <c r="G1087" s="6">
        <f t="shared" si="80"/>
        <v>3.6153284341284033</v>
      </c>
      <c r="H1087" s="6">
        <f>F169*(1-B1087)</f>
        <v>0</v>
      </c>
      <c r="I1087" s="6">
        <f>G169*(1-B1087)</f>
        <v>0</v>
      </c>
      <c r="J1087" s="10"/>
    </row>
    <row r="1088" spans="1:10">
      <c r="A1088" s="17" t="s">
        <v>167</v>
      </c>
      <c r="J1088" s="10"/>
    </row>
    <row r="1089" spans="1:10">
      <c r="A1089" s="11" t="s">
        <v>97</v>
      </c>
      <c r="B1089" s="24">
        <f>SUMPRODUCT($B974:$F974,$B$110:$F$110)</f>
        <v>0</v>
      </c>
      <c r="C1089" s="26">
        <f>B1089</f>
        <v>0</v>
      </c>
      <c r="D1089" s="6">
        <f>B171*(1-B1089)</f>
        <v>517.04045501631606</v>
      </c>
      <c r="E1089" s="6">
        <f>C171*(1-B1089)</f>
        <v>136.89783135294002</v>
      </c>
      <c r="F1089" s="6">
        <f>D171*(1-B1089)</f>
        <v>0</v>
      </c>
      <c r="G1089" s="6">
        <f>E171*(1-C1089)</f>
        <v>4</v>
      </c>
      <c r="H1089" s="6">
        <f>F171*(1-B1089)</f>
        <v>0</v>
      </c>
      <c r="I1089" s="6">
        <f>G171*(1-B1089)</f>
        <v>0</v>
      </c>
      <c r="J1089" s="10"/>
    </row>
    <row r="1090" spans="1:10">
      <c r="A1090" s="17" t="s">
        <v>168</v>
      </c>
      <c r="J1090" s="10"/>
    </row>
    <row r="1091" spans="1:10">
      <c r="A1091" s="11" t="s">
        <v>110</v>
      </c>
      <c r="B1091" s="24">
        <f>SUMPRODUCT($B976:$F976,$B$110:$F$110)</f>
        <v>0</v>
      </c>
      <c r="C1091" s="26">
        <f>B1091</f>
        <v>0</v>
      </c>
      <c r="D1091" s="6">
        <f>B173*(1-B1091)</f>
        <v>753.60754258070392</v>
      </c>
      <c r="E1091" s="6">
        <f>C173*(1-B1091)</f>
        <v>161.59553674706402</v>
      </c>
      <c r="F1091" s="6">
        <f>D173*(1-B1091)</f>
        <v>0</v>
      </c>
      <c r="G1091" s="6">
        <f>E173*(1-C1091)</f>
        <v>13</v>
      </c>
      <c r="H1091" s="6">
        <f>F173*(1-B1091)</f>
        <v>0</v>
      </c>
      <c r="I1091" s="6">
        <f>G173*(1-B1091)</f>
        <v>0</v>
      </c>
      <c r="J1091" s="10"/>
    </row>
    <row r="1092" spans="1:10">
      <c r="A1092" s="17" t="s">
        <v>1650</v>
      </c>
      <c r="J1092" s="10"/>
    </row>
    <row r="1093" spans="1:10">
      <c r="A1093" s="11" t="s">
        <v>1647</v>
      </c>
      <c r="B1093" s="24">
        <f>SUMPRODUCT($B978:$F978,$B$110:$F$110)</f>
        <v>0</v>
      </c>
      <c r="C1093" s="26">
        <f>B1093</f>
        <v>0</v>
      </c>
      <c r="D1093" s="6">
        <f>B175*(1-B1093)</f>
        <v>0</v>
      </c>
      <c r="E1093" s="6">
        <f>C175*(1-B1093)</f>
        <v>0</v>
      </c>
      <c r="F1093" s="6">
        <f t="shared" ref="F1093:G1095" si="81">D175*(1-B1093)</f>
        <v>0</v>
      </c>
      <c r="G1093" s="6">
        <f t="shared" si="81"/>
        <v>0</v>
      </c>
      <c r="H1093" s="6">
        <f>F175*(1-B1093)</f>
        <v>0</v>
      </c>
      <c r="I1093" s="6">
        <f>G175*(1-B1093)</f>
        <v>0</v>
      </c>
      <c r="J1093" s="10"/>
    </row>
    <row r="1094" spans="1:10">
      <c r="A1094" s="11" t="s">
        <v>1644</v>
      </c>
      <c r="B1094" s="24">
        <f>SUMPRODUCT($B979:$F979,$B$110:$F$110)</f>
        <v>0.31963777193131604</v>
      </c>
      <c r="C1094" s="26">
        <f>B1094</f>
        <v>0.31963777193131604</v>
      </c>
      <c r="D1094" s="6">
        <f>B176*(1-B1094)</f>
        <v>0</v>
      </c>
      <c r="E1094" s="6">
        <f>C176*(1-B1094)</f>
        <v>0</v>
      </c>
      <c r="F1094" s="6">
        <f t="shared" si="81"/>
        <v>0</v>
      </c>
      <c r="G1094" s="6">
        <f t="shared" si="81"/>
        <v>0</v>
      </c>
      <c r="H1094" s="6">
        <f>F176*(1-B1094)</f>
        <v>0</v>
      </c>
      <c r="I1094" s="6">
        <f>G176*(1-B1094)</f>
        <v>0</v>
      </c>
      <c r="J1094" s="10"/>
    </row>
    <row r="1095" spans="1:10">
      <c r="A1095" s="11" t="s">
        <v>1641</v>
      </c>
      <c r="B1095" s="24">
        <f>SUMPRODUCT($B980:$F980,$B$110:$F$110)</f>
        <v>0.63846715658715969</v>
      </c>
      <c r="C1095" s="26">
        <f>B1095</f>
        <v>0.63846715658715969</v>
      </c>
      <c r="D1095" s="6">
        <f>B177*(1-B1095)</f>
        <v>0</v>
      </c>
      <c r="E1095" s="6">
        <f>C177*(1-B1095)</f>
        <v>0</v>
      </c>
      <c r="F1095" s="6">
        <f t="shared" si="81"/>
        <v>0</v>
      </c>
      <c r="G1095" s="6">
        <f t="shared" si="81"/>
        <v>0</v>
      </c>
      <c r="H1095" s="6">
        <f>F177*(1-B1095)</f>
        <v>0</v>
      </c>
      <c r="I1095" s="6">
        <f>G177*(1-B1095)</f>
        <v>0</v>
      </c>
      <c r="J1095" s="10"/>
    </row>
    <row r="1096" spans="1:10">
      <c r="A1096" s="17" t="s">
        <v>1649</v>
      </c>
      <c r="J1096" s="10"/>
    </row>
    <row r="1097" spans="1:10">
      <c r="A1097" s="11" t="s">
        <v>1646</v>
      </c>
      <c r="B1097" s="24">
        <f>SUMPRODUCT($B982:$F982,$B$110:$F$110)</f>
        <v>0</v>
      </c>
      <c r="C1097" s="26">
        <f>B1097</f>
        <v>0</v>
      </c>
      <c r="D1097" s="6">
        <f>B179*(1-B1097)</f>
        <v>0</v>
      </c>
      <c r="E1097" s="6">
        <f>C179*(1-B1097)</f>
        <v>0</v>
      </c>
      <c r="F1097" s="6">
        <f t="shared" ref="F1097:G1099" si="82">D179*(1-B1097)</f>
        <v>0</v>
      </c>
      <c r="G1097" s="6">
        <f t="shared" si="82"/>
        <v>0</v>
      </c>
      <c r="H1097" s="6">
        <f>F179*(1-B1097)</f>
        <v>0</v>
      </c>
      <c r="I1097" s="6">
        <f>G179*(1-B1097)</f>
        <v>0</v>
      </c>
      <c r="J1097" s="10"/>
    </row>
    <row r="1098" spans="1:10">
      <c r="A1098" s="11" t="s">
        <v>1643</v>
      </c>
      <c r="B1098" s="24">
        <f>SUMPRODUCT($B983:$F983,$B$110:$F$110)</f>
        <v>0.31963777193131604</v>
      </c>
      <c r="C1098" s="26">
        <f>B1098</f>
        <v>0.31963777193131604</v>
      </c>
      <c r="D1098" s="6">
        <f>B180*(1-B1098)</f>
        <v>0</v>
      </c>
      <c r="E1098" s="6">
        <f>C180*(1-B1098)</f>
        <v>0</v>
      </c>
      <c r="F1098" s="6">
        <f t="shared" si="82"/>
        <v>0</v>
      </c>
      <c r="G1098" s="6">
        <f t="shared" si="82"/>
        <v>0</v>
      </c>
      <c r="H1098" s="6">
        <f>F180*(1-B1098)</f>
        <v>0</v>
      </c>
      <c r="I1098" s="6">
        <f>G180*(1-B1098)</f>
        <v>0</v>
      </c>
      <c r="J1098" s="10"/>
    </row>
    <row r="1099" spans="1:10">
      <c r="A1099" s="11" t="s">
        <v>1640</v>
      </c>
      <c r="B1099" s="24">
        <f>SUMPRODUCT($B984:$F984,$B$110:$F$110)</f>
        <v>0.63846715658715969</v>
      </c>
      <c r="C1099" s="26">
        <f>B1099</f>
        <v>0.63846715658715969</v>
      </c>
      <c r="D1099" s="6">
        <f>B181*(1-B1099)</f>
        <v>0</v>
      </c>
      <c r="E1099" s="6">
        <f>C181*(1-B1099)</f>
        <v>0</v>
      </c>
      <c r="F1099" s="6">
        <f t="shared" si="82"/>
        <v>0</v>
      </c>
      <c r="G1099" s="6">
        <f t="shared" si="82"/>
        <v>0</v>
      </c>
      <c r="H1099" s="6">
        <f>F181*(1-B1099)</f>
        <v>0</v>
      </c>
      <c r="I1099" s="6">
        <f>G181*(1-B1099)</f>
        <v>0</v>
      </c>
      <c r="J1099" s="10"/>
    </row>
    <row r="1100" spans="1:10">
      <c r="A1100" s="17" t="s">
        <v>169</v>
      </c>
      <c r="J1100" s="10"/>
    </row>
    <row r="1101" spans="1:10">
      <c r="A1101" s="11" t="s">
        <v>98</v>
      </c>
      <c r="B1101" s="24">
        <f>SUMPRODUCT($B986:$F986,$B$110:$F$110)</f>
        <v>0</v>
      </c>
      <c r="C1101" s="26">
        <f>B1101</f>
        <v>0</v>
      </c>
      <c r="D1101" s="6">
        <f>B183*(1-B1101)</f>
        <v>105280.60773635872</v>
      </c>
      <c r="E1101" s="6">
        <f>C183*(1-B1101)</f>
        <v>666906.91242974426</v>
      </c>
      <c r="F1101" s="6">
        <f t="shared" ref="F1101:G1103" si="83">D183*(1-B1101)</f>
        <v>493272.90471028525</v>
      </c>
      <c r="G1101" s="6">
        <f t="shared" si="83"/>
        <v>3111</v>
      </c>
      <c r="H1101" s="6">
        <f>F183*(1-B1101)</f>
        <v>578357</v>
      </c>
      <c r="I1101" s="6">
        <f>G183*(1-B1101)</f>
        <v>121162</v>
      </c>
      <c r="J1101" s="10"/>
    </row>
    <row r="1102" spans="1:10">
      <c r="A1102" s="11" t="s">
        <v>170</v>
      </c>
      <c r="B1102" s="24">
        <f>SUMPRODUCT($B987:$F987,$B$110:$F$110)</f>
        <v>0.31963777193131604</v>
      </c>
      <c r="C1102" s="26">
        <f>B1102</f>
        <v>0.31963777193131604</v>
      </c>
      <c r="D1102" s="6">
        <f>B184*(1-B1102)</f>
        <v>0</v>
      </c>
      <c r="E1102" s="6">
        <f>C184*(1-B1102)</f>
        <v>0</v>
      </c>
      <c r="F1102" s="6">
        <f t="shared" si="83"/>
        <v>0</v>
      </c>
      <c r="G1102" s="6">
        <f t="shared" si="83"/>
        <v>0</v>
      </c>
      <c r="H1102" s="6">
        <f>F184*(1-B1102)</f>
        <v>0</v>
      </c>
      <c r="I1102" s="6">
        <f>G184*(1-B1102)</f>
        <v>0</v>
      </c>
      <c r="J1102" s="10"/>
    </row>
    <row r="1103" spans="1:10">
      <c r="A1103" s="11" t="s">
        <v>171</v>
      </c>
      <c r="B1103" s="24">
        <f>SUMPRODUCT($B988:$F988,$B$110:$F$110)</f>
        <v>0.63846715658715969</v>
      </c>
      <c r="C1103" s="26">
        <f>B1103</f>
        <v>0.63846715658715969</v>
      </c>
      <c r="D1103" s="6">
        <f>B185*(1-B1103)</f>
        <v>587.30910870749847</v>
      </c>
      <c r="E1103" s="6">
        <f>C185*(1-B1103)</f>
        <v>3207.452575889622</v>
      </c>
      <c r="F1103" s="6">
        <f t="shared" si="83"/>
        <v>2313.6039563527161</v>
      </c>
      <c r="G1103" s="6">
        <f t="shared" si="83"/>
        <v>7.2306568682568066</v>
      </c>
      <c r="H1103" s="6">
        <f>F185*(1-B1103)</f>
        <v>2525.3069112386897</v>
      </c>
      <c r="I1103" s="6">
        <f>G185*(1-B1103)</f>
        <v>201.73532662436489</v>
      </c>
      <c r="J1103" s="10"/>
    </row>
    <row r="1104" spans="1:10">
      <c r="A1104" s="17" t="s">
        <v>172</v>
      </c>
      <c r="J1104" s="10"/>
    </row>
    <row r="1105" spans="1:10">
      <c r="A1105" s="11" t="s">
        <v>99</v>
      </c>
      <c r="B1105" s="24">
        <f>SUMPRODUCT($B990:$F990,$B$110:$F$110)</f>
        <v>0</v>
      </c>
      <c r="C1105" s="26">
        <f>B1105</f>
        <v>0</v>
      </c>
      <c r="D1105" s="6">
        <f>B187*(1-B1105)</f>
        <v>1334.7866543787895</v>
      </c>
      <c r="E1105" s="6">
        <f>C187*(1-B1105)</f>
        <v>7582.7475303968895</v>
      </c>
      <c r="F1105" s="6">
        <f>D187*(1-B1105)</f>
        <v>5677.7124349562873</v>
      </c>
      <c r="G1105" s="6">
        <f>E187*(1-C1105)</f>
        <v>18</v>
      </c>
      <c r="H1105" s="6">
        <f>F187*(1-B1105)</f>
        <v>6238</v>
      </c>
      <c r="I1105" s="6">
        <f>G187*(1-B1105)</f>
        <v>1758</v>
      </c>
      <c r="J1105" s="10"/>
    </row>
    <row r="1106" spans="1:10">
      <c r="A1106" s="11" t="s">
        <v>173</v>
      </c>
      <c r="B1106" s="24">
        <f>SUMPRODUCT($B991:$F991,$B$110:$F$110)</f>
        <v>0.45349156811055275</v>
      </c>
      <c r="C1106" s="26">
        <f>B1106</f>
        <v>0.45349156811055275</v>
      </c>
      <c r="D1106" s="6">
        <f>B188*(1-B1106)</f>
        <v>239.94633591627596</v>
      </c>
      <c r="E1106" s="6">
        <f>C188*(1-B1106)</f>
        <v>1310.4113009649116</v>
      </c>
      <c r="F1106" s="6">
        <f>D188*(1-B1106)</f>
        <v>945.22762180539303</v>
      </c>
      <c r="G1106" s="6">
        <f>E188*(1-C1106)</f>
        <v>2.7325421594472363</v>
      </c>
      <c r="H1106" s="6">
        <f>F188*(1-B1106)</f>
        <v>583.12449682604029</v>
      </c>
      <c r="I1106" s="6">
        <f>G188*(1-B1106)</f>
        <v>61.755452803507545</v>
      </c>
      <c r="J1106" s="10"/>
    </row>
    <row r="1107" spans="1:10">
      <c r="A1107" s="17" t="s">
        <v>174</v>
      </c>
      <c r="J1107" s="10"/>
    </row>
    <row r="1108" spans="1:10">
      <c r="A1108" s="11" t="s">
        <v>111</v>
      </c>
      <c r="B1108" s="24">
        <f>SUMPRODUCT($B993:$F993,$B$110:$F$110)</f>
        <v>0</v>
      </c>
      <c r="C1108" s="26">
        <f>B1108</f>
        <v>0</v>
      </c>
      <c r="D1108" s="6">
        <f>B190*(1-B1108)</f>
        <v>168212.60808699948</v>
      </c>
      <c r="E1108" s="6">
        <f>C190*(1-B1108)</f>
        <v>1015521.4628002136</v>
      </c>
      <c r="F1108" s="6">
        <f>D190*(1-B1108)</f>
        <v>952719.56575802783</v>
      </c>
      <c r="G1108" s="6">
        <f>E190*(1-C1108)</f>
        <v>595</v>
      </c>
      <c r="H1108" s="6">
        <f>F190*(1-B1108)</f>
        <v>696791</v>
      </c>
      <c r="I1108" s="6">
        <f>G190*(1-B1108)</f>
        <v>160841</v>
      </c>
      <c r="J1108" s="10"/>
    </row>
    <row r="1109" spans="1:10">
      <c r="A1109" s="11" t="s">
        <v>175</v>
      </c>
      <c r="B1109" s="24">
        <f>SUMPRODUCT($B994:$F994,$B$110:$F$110)</f>
        <v>0.34444405043316395</v>
      </c>
      <c r="C1109" s="26">
        <f>B1109</f>
        <v>0.34444405043316395</v>
      </c>
      <c r="D1109" s="6">
        <f>B191*(1-B1109)</f>
        <v>450.62207581451389</v>
      </c>
      <c r="E1109" s="6">
        <f>C191*(1-B1109)</f>
        <v>2554.7855946144414</v>
      </c>
      <c r="F1109" s="6">
        <f>D191*(1-B1109)</f>
        <v>2013.2777408935135</v>
      </c>
      <c r="G1109" s="6">
        <f>E191*(1-C1109)</f>
        <v>3.2777797478341801</v>
      </c>
      <c r="H1109" s="6">
        <f>F191*(1-B1109)</f>
        <v>3214.1908207261972</v>
      </c>
      <c r="I1109" s="6">
        <f>G191*(1-B1109)</f>
        <v>234.68902994492731</v>
      </c>
      <c r="J1109" s="10"/>
    </row>
    <row r="1110" spans="1:10">
      <c r="A1110" s="17" t="s">
        <v>176</v>
      </c>
      <c r="J1110" s="10"/>
    </row>
    <row r="1111" spans="1:10">
      <c r="A1111" s="11" t="s">
        <v>131</v>
      </c>
      <c r="B1111" s="24">
        <f>SUMPRODUCT($B996:$F996,$B$110:$F$110)</f>
        <v>0</v>
      </c>
      <c r="C1111" s="26">
        <f>B1111</f>
        <v>0</v>
      </c>
      <c r="D1111" s="6">
        <f>B193*(1-B1111)</f>
        <v>7597.2957335261272</v>
      </c>
      <c r="E1111" s="6">
        <f>C193*(1-B1111)</f>
        <v>0</v>
      </c>
      <c r="F1111" s="6">
        <f t="shared" ref="F1111:G1113" si="84">D193*(1-B1111)</f>
        <v>0</v>
      </c>
      <c r="G1111" s="6">
        <f t="shared" si="84"/>
        <v>514</v>
      </c>
      <c r="H1111" s="6">
        <f>F193*(1-B1111)</f>
        <v>0</v>
      </c>
      <c r="I1111" s="6">
        <f>G193*(1-B1111)</f>
        <v>0</v>
      </c>
      <c r="J1111" s="10"/>
    </row>
    <row r="1112" spans="1:10">
      <c r="A1112" s="11" t="s">
        <v>177</v>
      </c>
      <c r="B1112" s="24">
        <f>SUMPRODUCT($B997:$F997,$B$110:$F$110)</f>
        <v>0.31963777193131604</v>
      </c>
      <c r="C1112" s="26">
        <f>B1112</f>
        <v>0.31963777193131604</v>
      </c>
      <c r="D1112" s="6">
        <f>B194*(1-B1112)</f>
        <v>26.244153517921369</v>
      </c>
      <c r="E1112" s="6">
        <f>C194*(1-B1112)</f>
        <v>0</v>
      </c>
      <c r="F1112" s="6">
        <f t="shared" si="84"/>
        <v>0</v>
      </c>
      <c r="G1112" s="6">
        <f t="shared" si="84"/>
        <v>0</v>
      </c>
      <c r="H1112" s="6">
        <f>F194*(1-B1112)</f>
        <v>0</v>
      </c>
      <c r="I1112" s="6">
        <f>G194*(1-B1112)</f>
        <v>0</v>
      </c>
      <c r="J1112" s="10"/>
    </row>
    <row r="1113" spans="1:10">
      <c r="A1113" s="11" t="s">
        <v>178</v>
      </c>
      <c r="B1113" s="24">
        <f>SUMPRODUCT($B998:$F998,$B$110:$F$110)</f>
        <v>0.63846715658715969</v>
      </c>
      <c r="C1113" s="26">
        <f>B1113</f>
        <v>0.63846715658715969</v>
      </c>
      <c r="D1113" s="6">
        <f>B195*(1-B1113)</f>
        <v>65.229684523967308</v>
      </c>
      <c r="E1113" s="6">
        <f>C195*(1-B1113)</f>
        <v>0</v>
      </c>
      <c r="F1113" s="6">
        <f t="shared" si="84"/>
        <v>0</v>
      </c>
      <c r="G1113" s="6">
        <f t="shared" si="84"/>
        <v>0</v>
      </c>
      <c r="H1113" s="6">
        <f>F195*(1-B1113)</f>
        <v>0</v>
      </c>
      <c r="I1113" s="6">
        <f>G195*(1-B1113)</f>
        <v>0</v>
      </c>
      <c r="J1113" s="10"/>
    </row>
    <row r="1114" spans="1:10">
      <c r="A1114" s="17" t="s">
        <v>179</v>
      </c>
      <c r="J1114" s="10"/>
    </row>
    <row r="1115" spans="1:10">
      <c r="A1115" s="11" t="s">
        <v>132</v>
      </c>
      <c r="B1115" s="24">
        <f>SUMPRODUCT($B1000:$F1000,$B$110:$F$110)</f>
        <v>0</v>
      </c>
      <c r="C1115" s="26">
        <f>B1115</f>
        <v>0</v>
      </c>
      <c r="D1115" s="6">
        <f>B197*(1-B1115)</f>
        <v>5952.5744876907111</v>
      </c>
      <c r="E1115" s="6">
        <f>C197*(1-B1115)</f>
        <v>0</v>
      </c>
      <c r="F1115" s="6">
        <f t="shared" ref="F1115:G1117" si="85">D197*(1-B1115)</f>
        <v>0</v>
      </c>
      <c r="G1115" s="6">
        <f t="shared" si="85"/>
        <v>749</v>
      </c>
      <c r="H1115" s="6">
        <f>F197*(1-B1115)</f>
        <v>0</v>
      </c>
      <c r="I1115" s="6">
        <f>G197*(1-B1115)</f>
        <v>0</v>
      </c>
      <c r="J1115" s="10"/>
    </row>
    <row r="1116" spans="1:10">
      <c r="A1116" s="11" t="s">
        <v>180</v>
      </c>
      <c r="B1116" s="24">
        <f>SUMPRODUCT($B1001:$F1001,$B$110:$F$110)</f>
        <v>0.31963777193131604</v>
      </c>
      <c r="C1116" s="26">
        <f>B1116</f>
        <v>0.31963777193131604</v>
      </c>
      <c r="D1116" s="6">
        <f>B198*(1-B1116)</f>
        <v>3.6861575555172479</v>
      </c>
      <c r="E1116" s="6">
        <f>C198*(1-B1116)</f>
        <v>0</v>
      </c>
      <c r="F1116" s="6">
        <f t="shared" si="85"/>
        <v>0</v>
      </c>
      <c r="G1116" s="6">
        <f t="shared" si="85"/>
        <v>0</v>
      </c>
      <c r="H1116" s="6">
        <f>F198*(1-B1116)</f>
        <v>0</v>
      </c>
      <c r="I1116" s="6">
        <f>G198*(1-B1116)</f>
        <v>0</v>
      </c>
      <c r="J1116" s="10"/>
    </row>
    <row r="1117" spans="1:10">
      <c r="A1117" s="11" t="s">
        <v>181</v>
      </c>
      <c r="B1117" s="24">
        <f>SUMPRODUCT($B1002:$F1002,$B$110:$F$110)</f>
        <v>0.63846715658715969</v>
      </c>
      <c r="C1117" s="26">
        <f>B1117</f>
        <v>0.63846715658715969</v>
      </c>
      <c r="D1117" s="6">
        <f>B199*(1-B1117)</f>
        <v>93.574477724818024</v>
      </c>
      <c r="E1117" s="6">
        <f>C199*(1-B1117)</f>
        <v>0</v>
      </c>
      <c r="F1117" s="6">
        <f t="shared" si="85"/>
        <v>0</v>
      </c>
      <c r="G1117" s="6">
        <f t="shared" si="85"/>
        <v>0</v>
      </c>
      <c r="H1117" s="6">
        <f>F199*(1-B1117)</f>
        <v>0</v>
      </c>
      <c r="I1117" s="6">
        <f>G199*(1-B1117)</f>
        <v>0</v>
      </c>
      <c r="J1117" s="10"/>
    </row>
    <row r="1118" spans="1:10">
      <c r="A1118" s="17" t="s">
        <v>182</v>
      </c>
      <c r="J1118" s="10"/>
    </row>
    <row r="1119" spans="1:10">
      <c r="A1119" s="11" t="s">
        <v>133</v>
      </c>
      <c r="B1119" s="24">
        <f>SUMPRODUCT($B1004:$F1004,$B$110:$F$110)</f>
        <v>0</v>
      </c>
      <c r="C1119" s="26">
        <f>B1119</f>
        <v>0</v>
      </c>
      <c r="D1119" s="6">
        <f>B201*(1-B1119)</f>
        <v>378.27038018128798</v>
      </c>
      <c r="E1119" s="6">
        <f>C201*(1-B1119)</f>
        <v>0</v>
      </c>
      <c r="F1119" s="6">
        <f t="shared" ref="F1119:G1121" si="86">D201*(1-B1119)</f>
        <v>0</v>
      </c>
      <c r="G1119" s="6">
        <f t="shared" si="86"/>
        <v>84</v>
      </c>
      <c r="H1119" s="6">
        <f>F201*(1-B1119)</f>
        <v>0</v>
      </c>
      <c r="I1119" s="6">
        <f>G201*(1-B1119)</f>
        <v>0</v>
      </c>
      <c r="J1119" s="10"/>
    </row>
    <row r="1120" spans="1:10">
      <c r="A1120" s="11" t="s">
        <v>183</v>
      </c>
      <c r="B1120" s="24">
        <f>SUMPRODUCT($B1005:$F1005,$B$110:$F$110)</f>
        <v>0.31963777193131604</v>
      </c>
      <c r="C1120" s="26">
        <f>B1120</f>
        <v>0.31963777193131604</v>
      </c>
      <c r="D1120" s="6">
        <f>B202*(1-B1120)</f>
        <v>0</v>
      </c>
      <c r="E1120" s="6">
        <f>C202*(1-B1120)</f>
        <v>0</v>
      </c>
      <c r="F1120" s="6">
        <f t="shared" si="86"/>
        <v>0</v>
      </c>
      <c r="G1120" s="6">
        <f t="shared" si="86"/>
        <v>0</v>
      </c>
      <c r="H1120" s="6">
        <f>F202*(1-B1120)</f>
        <v>0</v>
      </c>
      <c r="I1120" s="6">
        <f>G202*(1-B1120)</f>
        <v>0</v>
      </c>
      <c r="J1120" s="10"/>
    </row>
    <row r="1121" spans="1:10">
      <c r="A1121" s="11" t="s">
        <v>184</v>
      </c>
      <c r="B1121" s="24">
        <f>SUMPRODUCT($B1006:$F1006,$B$110:$F$110)</f>
        <v>0.63846715658715969</v>
      </c>
      <c r="C1121" s="26">
        <f>B1121</f>
        <v>0.63846715658715969</v>
      </c>
      <c r="D1121" s="6">
        <f>B203*(1-B1121)</f>
        <v>0</v>
      </c>
      <c r="E1121" s="6">
        <f>C203*(1-B1121)</f>
        <v>0</v>
      </c>
      <c r="F1121" s="6">
        <f t="shared" si="86"/>
        <v>0</v>
      </c>
      <c r="G1121" s="6">
        <f t="shared" si="86"/>
        <v>0</v>
      </c>
      <c r="H1121" s="6">
        <f>F203*(1-B1121)</f>
        <v>0</v>
      </c>
      <c r="I1121" s="6">
        <f>G203*(1-B1121)</f>
        <v>0</v>
      </c>
      <c r="J1121" s="10"/>
    </row>
    <row r="1122" spans="1:10">
      <c r="A1122" s="17" t="s">
        <v>185</v>
      </c>
      <c r="J1122" s="10"/>
    </row>
    <row r="1123" spans="1:10">
      <c r="A1123" s="11" t="s">
        <v>134</v>
      </c>
      <c r="B1123" s="24">
        <f>SUMPRODUCT($B1008:$F1008,$B$110:$F$110)</f>
        <v>0</v>
      </c>
      <c r="C1123" s="26">
        <f>B1123</f>
        <v>0</v>
      </c>
      <c r="D1123" s="6">
        <f>B205*(1-B1123)</f>
        <v>0</v>
      </c>
      <c r="E1123" s="6">
        <f>C205*(1-B1123)</f>
        <v>0</v>
      </c>
      <c r="F1123" s="6">
        <f t="shared" ref="F1123:G1125" si="87">D205*(1-B1123)</f>
        <v>0</v>
      </c>
      <c r="G1123" s="6">
        <f t="shared" si="87"/>
        <v>1</v>
      </c>
      <c r="H1123" s="6">
        <f>F205*(1-B1123)</f>
        <v>0</v>
      </c>
      <c r="I1123" s="6">
        <f>G205*(1-B1123)</f>
        <v>0</v>
      </c>
      <c r="J1123" s="10"/>
    </row>
    <row r="1124" spans="1:10">
      <c r="A1124" s="11" t="s">
        <v>186</v>
      </c>
      <c r="B1124" s="24">
        <f>SUMPRODUCT($B1009:$F1009,$B$110:$F$110)</f>
        <v>0.31963777193131604</v>
      </c>
      <c r="C1124" s="26">
        <f>B1124</f>
        <v>0.31963777193131604</v>
      </c>
      <c r="D1124" s="6">
        <f>B206*(1-B1124)</f>
        <v>0</v>
      </c>
      <c r="E1124" s="6">
        <f>C206*(1-B1124)</f>
        <v>0</v>
      </c>
      <c r="F1124" s="6">
        <f t="shared" si="87"/>
        <v>0</v>
      </c>
      <c r="G1124" s="6">
        <f t="shared" si="87"/>
        <v>0</v>
      </c>
      <c r="H1124" s="6">
        <f>F206*(1-B1124)</f>
        <v>0</v>
      </c>
      <c r="I1124" s="6">
        <f>G206*(1-B1124)</f>
        <v>0</v>
      </c>
      <c r="J1124" s="10"/>
    </row>
    <row r="1125" spans="1:10">
      <c r="A1125" s="11" t="s">
        <v>187</v>
      </c>
      <c r="B1125" s="24">
        <f>SUMPRODUCT($B1010:$F1010,$B$110:$F$110)</f>
        <v>0.63846715658715969</v>
      </c>
      <c r="C1125" s="26">
        <f>B1125</f>
        <v>0.63846715658715969</v>
      </c>
      <c r="D1125" s="6">
        <f>B207*(1-B1125)</f>
        <v>0</v>
      </c>
      <c r="E1125" s="6">
        <f>C207*(1-B1125)</f>
        <v>0</v>
      </c>
      <c r="F1125" s="6">
        <f t="shared" si="87"/>
        <v>0</v>
      </c>
      <c r="G1125" s="6">
        <f t="shared" si="87"/>
        <v>0</v>
      </c>
      <c r="H1125" s="6">
        <f>F207*(1-B1125)</f>
        <v>0</v>
      </c>
      <c r="I1125" s="6">
        <f>G207*(1-B1125)</f>
        <v>0</v>
      </c>
      <c r="J1125" s="10"/>
    </row>
    <row r="1126" spans="1:10">
      <c r="A1126" s="17" t="s">
        <v>188</v>
      </c>
      <c r="J1126" s="10"/>
    </row>
    <row r="1127" spans="1:10">
      <c r="A1127" s="11" t="s">
        <v>135</v>
      </c>
      <c r="B1127" s="24">
        <f>SUMPRODUCT($B1012:$F1012,$B$110:$F$110)</f>
        <v>0</v>
      </c>
      <c r="C1127" s="26">
        <f>B1127</f>
        <v>0</v>
      </c>
      <c r="D1127" s="6">
        <f>B209*(1-B1127)</f>
        <v>6228.0959976775684</v>
      </c>
      <c r="E1127" s="6">
        <f>C209*(1-B1127)</f>
        <v>35918.74585465651</v>
      </c>
      <c r="F1127" s="6">
        <f t="shared" ref="F1127:G1129" si="88">D209*(1-B1127)</f>
        <v>102458.54632787764</v>
      </c>
      <c r="G1127" s="6">
        <f t="shared" si="88"/>
        <v>26</v>
      </c>
      <c r="H1127" s="6">
        <f>F209*(1-B1127)</f>
        <v>0</v>
      </c>
      <c r="I1127" s="6">
        <f>G209*(1-B1127)</f>
        <v>0</v>
      </c>
      <c r="J1127" s="10"/>
    </row>
    <row r="1128" spans="1:10">
      <c r="A1128" s="11" t="s">
        <v>189</v>
      </c>
      <c r="B1128" s="24">
        <f>SUMPRODUCT($B1013:$F1013,$B$110:$F$110)</f>
        <v>0.31963777193131604</v>
      </c>
      <c r="C1128" s="26">
        <f>B1128</f>
        <v>0.31963777193131604</v>
      </c>
      <c r="D1128" s="6">
        <f>B210*(1-B1128)</f>
        <v>0</v>
      </c>
      <c r="E1128" s="6">
        <f>C210*(1-B1128)</f>
        <v>0</v>
      </c>
      <c r="F1128" s="6">
        <f t="shared" si="88"/>
        <v>0</v>
      </c>
      <c r="G1128" s="6">
        <f t="shared" si="88"/>
        <v>0</v>
      </c>
      <c r="H1128" s="6">
        <f>F210*(1-B1128)</f>
        <v>0</v>
      </c>
      <c r="I1128" s="6">
        <f>G210*(1-B1128)</f>
        <v>0</v>
      </c>
      <c r="J1128" s="10"/>
    </row>
    <row r="1129" spans="1:10">
      <c r="A1129" s="11" t="s">
        <v>190</v>
      </c>
      <c r="B1129" s="24">
        <f>SUMPRODUCT($B1014:$F1014,$B$110:$F$110)</f>
        <v>0.63846715658715969</v>
      </c>
      <c r="C1129" s="26">
        <f>B1129</f>
        <v>0.63846715658715969</v>
      </c>
      <c r="D1129" s="6">
        <f>B211*(1-B1129)</f>
        <v>0</v>
      </c>
      <c r="E1129" s="6">
        <f>C211*(1-B1129)</f>
        <v>0</v>
      </c>
      <c r="F1129" s="6">
        <f t="shared" si="88"/>
        <v>0</v>
      </c>
      <c r="G1129" s="6">
        <f t="shared" si="88"/>
        <v>0</v>
      </c>
      <c r="H1129" s="6">
        <f>F211*(1-B1129)</f>
        <v>0</v>
      </c>
      <c r="I1129" s="6">
        <f>G211*(1-B1129)</f>
        <v>0</v>
      </c>
      <c r="J1129" s="10"/>
    </row>
    <row r="1130" spans="1:10">
      <c r="A1130" s="17" t="s">
        <v>1648</v>
      </c>
      <c r="J1130" s="10"/>
    </row>
    <row r="1131" spans="1:10">
      <c r="A1131" s="11" t="s">
        <v>1645</v>
      </c>
      <c r="B1131" s="24">
        <f>SUMPRODUCT($B1016:$F1016,$B$110:$F$110)</f>
        <v>0</v>
      </c>
      <c r="C1131" s="26">
        <f>B1131</f>
        <v>0</v>
      </c>
      <c r="D1131" s="6">
        <f>B213*(1-B1131)</f>
        <v>602.29748729184382</v>
      </c>
      <c r="E1131" s="6">
        <f>C213*(1-B1131)</f>
        <v>0</v>
      </c>
      <c r="F1131" s="6">
        <f t="shared" ref="F1131:G1133" si="89">D213*(1-B1131)</f>
        <v>0</v>
      </c>
      <c r="G1131" s="6">
        <f t="shared" si="89"/>
        <v>130</v>
      </c>
      <c r="H1131" s="6">
        <f>F213*(1-B1131)</f>
        <v>0</v>
      </c>
      <c r="I1131" s="6">
        <f>G213*(1-B1131)</f>
        <v>0</v>
      </c>
      <c r="J1131" s="10"/>
    </row>
    <row r="1132" spans="1:10">
      <c r="A1132" s="11" t="s">
        <v>1642</v>
      </c>
      <c r="B1132" s="24">
        <f>SUMPRODUCT($B1017:$F1017,$B$110:$F$110)</f>
        <v>0</v>
      </c>
      <c r="C1132" s="25">
        <v>1</v>
      </c>
      <c r="D1132" s="6">
        <f>B214*(1-B1132)</f>
        <v>0</v>
      </c>
      <c r="E1132" s="6">
        <f>C214*(1-B1132)</f>
        <v>0</v>
      </c>
      <c r="F1132" s="6">
        <f t="shared" si="89"/>
        <v>0</v>
      </c>
      <c r="G1132" s="6">
        <f t="shared" si="89"/>
        <v>0</v>
      </c>
      <c r="H1132" s="6">
        <f>F214*(1-B1132)</f>
        <v>0</v>
      </c>
      <c r="I1132" s="6">
        <f>G214*(1-B1132)</f>
        <v>0</v>
      </c>
      <c r="J1132" s="10"/>
    </row>
    <row r="1133" spans="1:10">
      <c r="A1133" s="11" t="s">
        <v>1639</v>
      </c>
      <c r="B1133" s="24">
        <f>SUMPRODUCT($B1018:$F1018,$B$110:$F$110)</f>
        <v>0</v>
      </c>
      <c r="C1133" s="25">
        <v>1</v>
      </c>
      <c r="D1133" s="6">
        <f>B215*(1-B1133)</f>
        <v>0</v>
      </c>
      <c r="E1133" s="6">
        <f>C215*(1-B1133)</f>
        <v>0</v>
      </c>
      <c r="F1133" s="6">
        <f t="shared" si="89"/>
        <v>0</v>
      </c>
      <c r="G1133" s="6">
        <f t="shared" si="89"/>
        <v>0</v>
      </c>
      <c r="H1133" s="6">
        <f>F215*(1-B1133)</f>
        <v>0</v>
      </c>
      <c r="I1133" s="6">
        <f>G215*(1-B1133)</f>
        <v>0</v>
      </c>
      <c r="J1133" s="10"/>
    </row>
    <row r="1134" spans="1:10">
      <c r="A1134" s="17" t="s">
        <v>191</v>
      </c>
      <c r="J1134" s="10"/>
    </row>
    <row r="1135" spans="1:10">
      <c r="A1135" s="11" t="s">
        <v>100</v>
      </c>
      <c r="B1135" s="24">
        <f>SUMPRODUCT($B1020:$F1020,$B$110:$F$110)</f>
        <v>0</v>
      </c>
      <c r="C1135" s="26">
        <f>B1135</f>
        <v>0</v>
      </c>
      <c r="D1135" s="6">
        <f>B217*(1-B1135)</f>
        <v>0</v>
      </c>
      <c r="E1135" s="6">
        <f>C217*(1-B1135)</f>
        <v>0</v>
      </c>
      <c r="F1135" s="6">
        <f>D217*(1-B1135)</f>
        <v>0</v>
      </c>
      <c r="G1135" s="6">
        <f>E217*(1-C1135)</f>
        <v>0</v>
      </c>
      <c r="H1135" s="6">
        <f>F217*(1-B1135)</f>
        <v>0</v>
      </c>
      <c r="I1135" s="6">
        <f>G217*(1-B1135)</f>
        <v>0</v>
      </c>
      <c r="J1135" s="10"/>
    </row>
    <row r="1136" spans="1:10">
      <c r="A1136" s="11" t="s">
        <v>192</v>
      </c>
      <c r="B1136" s="24">
        <f>SUMPRODUCT($B1021:$F1021,$B$110:$F$110)</f>
        <v>0</v>
      </c>
      <c r="C1136" s="25">
        <v>1</v>
      </c>
      <c r="D1136" s="6">
        <f>B218*(1-B1136)</f>
        <v>0</v>
      </c>
      <c r="E1136" s="6">
        <f>C218*(1-B1136)</f>
        <v>0</v>
      </c>
      <c r="F1136" s="6">
        <f>D218*(1-B1136)</f>
        <v>0</v>
      </c>
      <c r="G1136" s="6">
        <f>E218*(1-C1136)</f>
        <v>0</v>
      </c>
      <c r="H1136" s="6">
        <f>F218*(1-B1136)</f>
        <v>0</v>
      </c>
      <c r="I1136" s="6">
        <f>G218*(1-B1136)</f>
        <v>0</v>
      </c>
      <c r="J1136" s="10"/>
    </row>
    <row r="1137" spans="1:10">
      <c r="A1137" s="17" t="s">
        <v>193</v>
      </c>
      <c r="J1137" s="10"/>
    </row>
    <row r="1138" spans="1:10">
      <c r="A1138" s="11" t="s">
        <v>101</v>
      </c>
      <c r="B1138" s="24">
        <f>SUMPRODUCT($B1023:$F1023,$B$110:$F$110)</f>
        <v>0</v>
      </c>
      <c r="C1138" s="26">
        <f>B1138</f>
        <v>0</v>
      </c>
      <c r="D1138" s="6">
        <f>B220*(1-B1138)</f>
        <v>9529.9504738031992</v>
      </c>
      <c r="E1138" s="6">
        <f>C220*(1-B1138)</f>
        <v>0</v>
      </c>
      <c r="F1138" s="6">
        <f t="shared" ref="F1138:G1140" si="90">D220*(1-B1138)</f>
        <v>0</v>
      </c>
      <c r="G1138" s="6">
        <f t="shared" si="90"/>
        <v>146</v>
      </c>
      <c r="H1138" s="6">
        <f>F220*(1-B1138)</f>
        <v>0</v>
      </c>
      <c r="I1138" s="6">
        <f>G220*(1-B1138)</f>
        <v>338</v>
      </c>
      <c r="J1138" s="10"/>
    </row>
    <row r="1139" spans="1:10">
      <c r="A1139" s="11" t="s">
        <v>194</v>
      </c>
      <c r="B1139" s="24">
        <f>SUMPRODUCT($B1024:$F1024,$B$110:$F$110)</f>
        <v>0</v>
      </c>
      <c r="C1139" s="25">
        <v>1</v>
      </c>
      <c r="D1139" s="6">
        <f>B221*(1-B1139)</f>
        <v>0</v>
      </c>
      <c r="E1139" s="6">
        <f>C221*(1-B1139)</f>
        <v>0</v>
      </c>
      <c r="F1139" s="6">
        <f t="shared" si="90"/>
        <v>0</v>
      </c>
      <c r="G1139" s="6">
        <f t="shared" si="90"/>
        <v>0</v>
      </c>
      <c r="H1139" s="6">
        <f>F221*(1-B1139)</f>
        <v>0</v>
      </c>
      <c r="I1139" s="6">
        <f>G221*(1-B1139)</f>
        <v>0</v>
      </c>
      <c r="J1139" s="10"/>
    </row>
    <row r="1140" spans="1:10">
      <c r="A1140" s="11" t="s">
        <v>195</v>
      </c>
      <c r="B1140" s="24">
        <f>SUMPRODUCT($B1025:$F1025,$B$110:$F$110)</f>
        <v>0</v>
      </c>
      <c r="C1140" s="25">
        <v>1</v>
      </c>
      <c r="D1140" s="6">
        <f>B222*(1-B1140)</f>
        <v>0</v>
      </c>
      <c r="E1140" s="6">
        <f>C222*(1-B1140)</f>
        <v>0</v>
      </c>
      <c r="F1140" s="6">
        <f t="shared" si="90"/>
        <v>0</v>
      </c>
      <c r="G1140" s="6">
        <f t="shared" si="90"/>
        <v>0</v>
      </c>
      <c r="H1140" s="6">
        <f>F222*(1-B1140)</f>
        <v>0</v>
      </c>
      <c r="I1140" s="6">
        <f>G222*(1-B1140)</f>
        <v>0</v>
      </c>
      <c r="J1140" s="10"/>
    </row>
    <row r="1141" spans="1:10">
      <c r="A1141" s="17" t="s">
        <v>196</v>
      </c>
      <c r="J1141" s="10"/>
    </row>
    <row r="1142" spans="1:10">
      <c r="A1142" s="11" t="s">
        <v>102</v>
      </c>
      <c r="B1142" s="24">
        <f>SUMPRODUCT($B1027:$F1027,$B$110:$F$110)</f>
        <v>0</v>
      </c>
      <c r="C1142" s="26">
        <f>B1142</f>
        <v>0</v>
      </c>
      <c r="D1142" s="6">
        <f>B224*(1-B1142)</f>
        <v>130.2286029240839</v>
      </c>
      <c r="E1142" s="6">
        <f>C224*(1-B1142)</f>
        <v>867.1493329537202</v>
      </c>
      <c r="F1142" s="6">
        <f t="shared" ref="F1142:G1144" si="91">D224*(1-B1142)</f>
        <v>897.89995991983972</v>
      </c>
      <c r="G1142" s="6">
        <f t="shared" si="91"/>
        <v>11</v>
      </c>
      <c r="H1142" s="6">
        <f>F224*(1-B1142)</f>
        <v>0</v>
      </c>
      <c r="I1142" s="6">
        <f>G224*(1-B1142)</f>
        <v>31</v>
      </c>
      <c r="J1142" s="10"/>
    </row>
    <row r="1143" spans="1:10">
      <c r="A1143" s="11" t="s">
        <v>197</v>
      </c>
      <c r="B1143" s="24">
        <f>SUMPRODUCT($B1028:$F1028,$B$110:$F$110)</f>
        <v>0</v>
      </c>
      <c r="C1143" s="25">
        <v>1</v>
      </c>
      <c r="D1143" s="6">
        <f>B225*(1-B1143)</f>
        <v>0</v>
      </c>
      <c r="E1143" s="6">
        <f>C225*(1-B1143)</f>
        <v>0</v>
      </c>
      <c r="F1143" s="6">
        <f t="shared" si="91"/>
        <v>0</v>
      </c>
      <c r="G1143" s="6">
        <f t="shared" si="91"/>
        <v>0</v>
      </c>
      <c r="H1143" s="6">
        <f>F225*(1-B1143)</f>
        <v>0</v>
      </c>
      <c r="I1143" s="6">
        <f>G225*(1-B1143)</f>
        <v>0</v>
      </c>
      <c r="J1143" s="10"/>
    </row>
    <row r="1144" spans="1:10">
      <c r="A1144" s="11" t="s">
        <v>198</v>
      </c>
      <c r="B1144" s="24">
        <f>SUMPRODUCT($B1029:$F1029,$B$110:$F$110)</f>
        <v>0</v>
      </c>
      <c r="C1144" s="25">
        <v>1</v>
      </c>
      <c r="D1144" s="6">
        <f>B226*(1-B1144)</f>
        <v>0</v>
      </c>
      <c r="E1144" s="6">
        <f>C226*(1-B1144)</f>
        <v>0</v>
      </c>
      <c r="F1144" s="6">
        <f t="shared" si="91"/>
        <v>0</v>
      </c>
      <c r="G1144" s="6">
        <f t="shared" si="91"/>
        <v>0</v>
      </c>
      <c r="H1144" s="6">
        <f>F226*(1-B1144)</f>
        <v>0</v>
      </c>
      <c r="I1144" s="6">
        <f>G226*(1-B1144)</f>
        <v>0</v>
      </c>
      <c r="J1144" s="10"/>
    </row>
    <row r="1145" spans="1:10">
      <c r="A1145" s="17" t="s">
        <v>199</v>
      </c>
      <c r="J1145" s="10"/>
    </row>
    <row r="1146" spans="1:10">
      <c r="A1146" s="11" t="s">
        <v>103</v>
      </c>
      <c r="B1146" s="24">
        <f>SUMPRODUCT($B1031:$F1031,$B$110:$F$110)</f>
        <v>0</v>
      </c>
      <c r="C1146" s="26">
        <f>B1146</f>
        <v>0</v>
      </c>
      <c r="D1146" s="6">
        <f>B228*(1-B1146)</f>
        <v>37.670999999999999</v>
      </c>
      <c r="E1146" s="6">
        <f>C228*(1-B1146)</f>
        <v>0</v>
      </c>
      <c r="F1146" s="6">
        <f>D228*(1-B1146)</f>
        <v>0</v>
      </c>
      <c r="G1146" s="6">
        <f>E228*(1-C1146)</f>
        <v>1</v>
      </c>
      <c r="H1146" s="6">
        <f>F228*(1-B1146)</f>
        <v>0</v>
      </c>
      <c r="I1146" s="6">
        <f>G228*(1-B1146)</f>
        <v>0</v>
      </c>
      <c r="J1146" s="10"/>
    </row>
    <row r="1147" spans="1:10">
      <c r="A1147" s="11" t="s">
        <v>200</v>
      </c>
      <c r="B1147" s="24">
        <f>SUMPRODUCT($B1032:$F1032,$B$110:$F$110)</f>
        <v>0</v>
      </c>
      <c r="C1147" s="25">
        <v>1</v>
      </c>
      <c r="D1147" s="6">
        <f>B229*(1-B1147)</f>
        <v>0</v>
      </c>
      <c r="E1147" s="6">
        <f>C229*(1-B1147)</f>
        <v>0</v>
      </c>
      <c r="F1147" s="6">
        <f>D229*(1-B1147)</f>
        <v>0</v>
      </c>
      <c r="G1147" s="6">
        <f>E229*(1-C1147)</f>
        <v>0</v>
      </c>
      <c r="H1147" s="6">
        <f>F229*(1-B1147)</f>
        <v>0</v>
      </c>
      <c r="I1147" s="6">
        <f>G229*(1-B1147)</f>
        <v>0</v>
      </c>
      <c r="J1147" s="10"/>
    </row>
    <row r="1148" spans="1:10">
      <c r="A1148" s="17" t="s">
        <v>201</v>
      </c>
      <c r="J1148" s="10"/>
    </row>
    <row r="1149" spans="1:10">
      <c r="A1149" s="11" t="s">
        <v>104</v>
      </c>
      <c r="B1149" s="24">
        <f>SUMPRODUCT($B1034:$F1034,$B$110:$F$110)</f>
        <v>0</v>
      </c>
      <c r="C1149" s="26">
        <f>B1149</f>
        <v>0</v>
      </c>
      <c r="D1149" s="6">
        <f>B231*(1-B1149)</f>
        <v>0</v>
      </c>
      <c r="E1149" s="6">
        <f>C231*(1-B1149)</f>
        <v>0</v>
      </c>
      <c r="F1149" s="6">
        <f>D231*(1-B1149)</f>
        <v>0</v>
      </c>
      <c r="G1149" s="6">
        <f>E231*(1-C1149)</f>
        <v>0</v>
      </c>
      <c r="H1149" s="6">
        <f>F231*(1-B1149)</f>
        <v>0</v>
      </c>
      <c r="I1149" s="6">
        <f>G231*(1-B1149)</f>
        <v>0</v>
      </c>
      <c r="J1149" s="10"/>
    </row>
    <row r="1150" spans="1:10">
      <c r="A1150" s="11" t="s">
        <v>202</v>
      </c>
      <c r="B1150" s="24">
        <f>SUMPRODUCT($B1035:$F1035,$B$110:$F$110)</f>
        <v>0</v>
      </c>
      <c r="C1150" s="25">
        <v>1</v>
      </c>
      <c r="D1150" s="6">
        <f>B232*(1-B1150)</f>
        <v>0</v>
      </c>
      <c r="E1150" s="6">
        <f>C232*(1-B1150)</f>
        <v>0</v>
      </c>
      <c r="F1150" s="6">
        <f>D232*(1-B1150)</f>
        <v>0</v>
      </c>
      <c r="G1150" s="6">
        <f>E232*(1-C1150)</f>
        <v>0</v>
      </c>
      <c r="H1150" s="6">
        <f>F232*(1-B1150)</f>
        <v>0</v>
      </c>
      <c r="I1150" s="6">
        <f>G232*(1-B1150)</f>
        <v>0</v>
      </c>
      <c r="J1150" s="10"/>
    </row>
    <row r="1151" spans="1:10">
      <c r="A1151" s="17" t="s">
        <v>203</v>
      </c>
      <c r="J1151" s="10"/>
    </row>
    <row r="1152" spans="1:10">
      <c r="A1152" s="11" t="s">
        <v>112</v>
      </c>
      <c r="B1152" s="24">
        <f>SUMPRODUCT($B1037:$F1037,$B$110:$F$110)</f>
        <v>0</v>
      </c>
      <c r="C1152" s="26">
        <f>B1152</f>
        <v>0</v>
      </c>
      <c r="D1152" s="6">
        <f>B234*(1-B1152)</f>
        <v>44577.689286771631</v>
      </c>
      <c r="E1152" s="6">
        <f>C234*(1-B1152)</f>
        <v>0</v>
      </c>
      <c r="F1152" s="6">
        <f>D234*(1-B1152)</f>
        <v>0</v>
      </c>
      <c r="G1152" s="6">
        <f>E234*(1-C1152)</f>
        <v>27</v>
      </c>
      <c r="H1152" s="6">
        <f>F234*(1-B1152)</f>
        <v>0</v>
      </c>
      <c r="I1152" s="6">
        <f>G234*(1-B1152)</f>
        <v>859</v>
      </c>
      <c r="J1152" s="10"/>
    </row>
    <row r="1153" spans="1:10">
      <c r="A1153" s="11" t="s">
        <v>204</v>
      </c>
      <c r="B1153" s="24">
        <f>SUMPRODUCT($B1038:$F1038,$B$110:$F$110)</f>
        <v>0</v>
      </c>
      <c r="C1153" s="25">
        <v>1</v>
      </c>
      <c r="D1153" s="6">
        <f>B235*(1-B1153)</f>
        <v>0</v>
      </c>
      <c r="E1153" s="6">
        <f>C235*(1-B1153)</f>
        <v>0</v>
      </c>
      <c r="F1153" s="6">
        <f>D235*(1-B1153)</f>
        <v>0</v>
      </c>
      <c r="G1153" s="6">
        <f>E235*(1-C1153)</f>
        <v>0</v>
      </c>
      <c r="H1153" s="6">
        <f>F235*(1-B1153)</f>
        <v>0</v>
      </c>
      <c r="I1153" s="6">
        <f>G235*(1-B1153)</f>
        <v>0</v>
      </c>
      <c r="J1153" s="10"/>
    </row>
    <row r="1154" spans="1:10">
      <c r="A1154" s="17" t="s">
        <v>205</v>
      </c>
      <c r="J1154" s="10"/>
    </row>
    <row r="1155" spans="1:10">
      <c r="A1155" s="11" t="s">
        <v>113</v>
      </c>
      <c r="B1155" s="24">
        <f>SUMPRODUCT($B1040:$F1040,$B$110:$F$110)</f>
        <v>0</v>
      </c>
      <c r="C1155" s="26">
        <f>B1155</f>
        <v>0</v>
      </c>
      <c r="D1155" s="6">
        <f>B237*(1-B1155)</f>
        <v>9070.7235647319703</v>
      </c>
      <c r="E1155" s="6">
        <f>C237*(1-B1155)</f>
        <v>44174.558442663067</v>
      </c>
      <c r="F1155" s="6">
        <f>D237*(1-B1155)</f>
        <v>48120.15616862481</v>
      </c>
      <c r="G1155" s="6">
        <f>E237*(1-C1155)</f>
        <v>27</v>
      </c>
      <c r="H1155" s="6">
        <f>F237*(1-B1155)</f>
        <v>0</v>
      </c>
      <c r="I1155" s="6">
        <f>G237*(1-B1155)</f>
        <v>742</v>
      </c>
      <c r="J1155" s="10"/>
    </row>
    <row r="1156" spans="1:10">
      <c r="A1156" s="11" t="s">
        <v>206</v>
      </c>
      <c r="B1156" s="24">
        <f>SUMPRODUCT($B1041:$F1041,$B$110:$F$110)</f>
        <v>0</v>
      </c>
      <c r="C1156" s="25">
        <v>1</v>
      </c>
      <c r="D1156" s="6">
        <f>B238*(1-B1156)</f>
        <v>0</v>
      </c>
      <c r="E1156" s="6">
        <f>C238*(1-B1156)</f>
        <v>0</v>
      </c>
      <c r="F1156" s="6">
        <f>D238*(1-B1156)</f>
        <v>0</v>
      </c>
      <c r="G1156" s="6">
        <f>E238*(1-C1156)</f>
        <v>0</v>
      </c>
      <c r="H1156" s="6">
        <f>F238*(1-B1156)</f>
        <v>0</v>
      </c>
      <c r="I1156" s="6">
        <f>G238*(1-B1156)</f>
        <v>0</v>
      </c>
      <c r="J1156" s="10"/>
    </row>
    <row r="1158" spans="1:10" ht="21" customHeight="1">
      <c r="A1158" s="1" t="s">
        <v>429</v>
      </c>
    </row>
    <row r="1159" spans="1:10">
      <c r="A1159" s="2" t="s">
        <v>255</v>
      </c>
    </row>
    <row r="1160" spans="1:10">
      <c r="A1160" s="12" t="s">
        <v>430</v>
      </c>
    </row>
    <row r="1161" spans="1:10">
      <c r="A1161" s="12" t="s">
        <v>431</v>
      </c>
    </row>
    <row r="1162" spans="1:10">
      <c r="A1162" s="12" t="s">
        <v>432</v>
      </c>
    </row>
    <row r="1163" spans="1:10">
      <c r="A1163" s="12" t="s">
        <v>433</v>
      </c>
    </row>
    <row r="1164" spans="1:10">
      <c r="A1164" s="12" t="s">
        <v>434</v>
      </c>
    </row>
    <row r="1165" spans="1:10">
      <c r="A1165" s="12" t="s">
        <v>435</v>
      </c>
    </row>
    <row r="1166" spans="1:10">
      <c r="A1166" s="21" t="s">
        <v>258</v>
      </c>
      <c r="B1166" s="21" t="s">
        <v>386</v>
      </c>
      <c r="C1166" s="21" t="s">
        <v>386</v>
      </c>
      <c r="D1166" s="21" t="s">
        <v>386</v>
      </c>
      <c r="E1166" s="21" t="s">
        <v>386</v>
      </c>
      <c r="F1166" s="21" t="s">
        <v>386</v>
      </c>
      <c r="G1166" s="21" t="s">
        <v>386</v>
      </c>
    </row>
    <row r="1167" spans="1:10">
      <c r="A1167" s="21" t="s">
        <v>261</v>
      </c>
      <c r="B1167" s="21" t="s">
        <v>436</v>
      </c>
      <c r="C1167" s="21" t="s">
        <v>437</v>
      </c>
      <c r="D1167" s="21" t="s">
        <v>438</v>
      </c>
      <c r="E1167" s="21" t="s">
        <v>439</v>
      </c>
      <c r="F1167" s="21" t="s">
        <v>388</v>
      </c>
      <c r="G1167" s="21" t="s">
        <v>440</v>
      </c>
    </row>
    <row r="1169" spans="1:8">
      <c r="B1169" s="3" t="s">
        <v>140</v>
      </c>
      <c r="C1169" s="3" t="s">
        <v>141</v>
      </c>
      <c r="D1169" s="3" t="s">
        <v>142</v>
      </c>
      <c r="E1169" s="3" t="s">
        <v>143</v>
      </c>
      <c r="F1169" s="3" t="s">
        <v>144</v>
      </c>
      <c r="G1169" s="3" t="s">
        <v>145</v>
      </c>
    </row>
    <row r="1170" spans="1:8">
      <c r="A1170" s="11" t="s">
        <v>92</v>
      </c>
      <c r="B1170" s="15">
        <f t="shared" ref="B1170:G1170" si="92">SUM(D$1061:D$1063)</f>
        <v>3248330.6199235553</v>
      </c>
      <c r="C1170" s="15">
        <f t="shared" si="92"/>
        <v>0</v>
      </c>
      <c r="D1170" s="15">
        <f t="shared" si="92"/>
        <v>0</v>
      </c>
      <c r="E1170" s="15">
        <f t="shared" si="92"/>
        <v>966736.93418690085</v>
      </c>
      <c r="F1170" s="15">
        <f t="shared" si="92"/>
        <v>0</v>
      </c>
      <c r="G1170" s="15">
        <f t="shared" si="92"/>
        <v>0</v>
      </c>
      <c r="H1170" s="10"/>
    </row>
    <row r="1171" spans="1:8">
      <c r="A1171" s="11" t="s">
        <v>93</v>
      </c>
      <c r="B1171" s="15">
        <f t="shared" ref="B1171:G1171" si="93">SUM(D$1065:D$1067)</f>
        <v>175119.47708045674</v>
      </c>
      <c r="C1171" s="15">
        <f t="shared" si="93"/>
        <v>185308.68817500453</v>
      </c>
      <c r="D1171" s="15">
        <f t="shared" si="93"/>
        <v>0</v>
      </c>
      <c r="E1171" s="15">
        <f t="shared" si="93"/>
        <v>58126.210234262464</v>
      </c>
      <c r="F1171" s="15">
        <f t="shared" si="93"/>
        <v>0</v>
      </c>
      <c r="G1171" s="15">
        <f t="shared" si="93"/>
        <v>0</v>
      </c>
      <c r="H1171" s="10"/>
    </row>
    <row r="1172" spans="1:8">
      <c r="A1172" s="11" t="s">
        <v>129</v>
      </c>
      <c r="B1172" s="15">
        <f t="shared" ref="B1172:G1172" si="94">SUM(D$1069:D$1071)</f>
        <v>3613.1440975729997</v>
      </c>
      <c r="C1172" s="15">
        <f t="shared" si="94"/>
        <v>0</v>
      </c>
      <c r="D1172" s="15">
        <f t="shared" si="94"/>
        <v>0</v>
      </c>
      <c r="E1172" s="15">
        <f t="shared" si="94"/>
        <v>0</v>
      </c>
      <c r="F1172" s="15">
        <f t="shared" si="94"/>
        <v>0</v>
      </c>
      <c r="G1172" s="15">
        <f t="shared" si="94"/>
        <v>0</v>
      </c>
      <c r="H1172" s="10"/>
    </row>
    <row r="1173" spans="1:8">
      <c r="A1173" s="11" t="s">
        <v>94</v>
      </c>
      <c r="B1173" s="15">
        <f t="shared" ref="B1173:G1173" si="95">SUM(D$1073:D$1075)</f>
        <v>824218.88200266846</v>
      </c>
      <c r="C1173" s="15">
        <f t="shared" si="95"/>
        <v>0</v>
      </c>
      <c r="D1173" s="15">
        <f t="shared" si="95"/>
        <v>0</v>
      </c>
      <c r="E1173" s="15">
        <f t="shared" si="95"/>
        <v>63829.490061687691</v>
      </c>
      <c r="F1173" s="15">
        <f t="shared" si="95"/>
        <v>0</v>
      </c>
      <c r="G1173" s="15">
        <f t="shared" si="95"/>
        <v>0</v>
      </c>
      <c r="H1173" s="10"/>
    </row>
    <row r="1174" spans="1:8">
      <c r="A1174" s="11" t="s">
        <v>95</v>
      </c>
      <c r="B1174" s="15">
        <f t="shared" ref="B1174:G1174" si="96">SUM(D$1077:D$1079)</f>
        <v>207107.05689628102</v>
      </c>
      <c r="C1174" s="15">
        <f t="shared" si="96"/>
        <v>92865.416258585727</v>
      </c>
      <c r="D1174" s="15">
        <f t="shared" si="96"/>
        <v>0</v>
      </c>
      <c r="E1174" s="15">
        <f t="shared" si="96"/>
        <v>13444.253795590716</v>
      </c>
      <c r="F1174" s="15">
        <f t="shared" si="96"/>
        <v>0</v>
      </c>
      <c r="G1174" s="15">
        <f t="shared" si="96"/>
        <v>0</v>
      </c>
      <c r="H1174" s="10"/>
    </row>
    <row r="1175" spans="1:8">
      <c r="A1175" s="11" t="s">
        <v>130</v>
      </c>
      <c r="B1175" s="15">
        <f t="shared" ref="B1175:G1175" si="97">SUM(D$1081:D$1083)</f>
        <v>2262.2093594051807</v>
      </c>
      <c r="C1175" s="15">
        <f t="shared" si="97"/>
        <v>0</v>
      </c>
      <c r="D1175" s="15">
        <f t="shared" si="97"/>
        <v>0</v>
      </c>
      <c r="E1175" s="15">
        <f t="shared" si="97"/>
        <v>0</v>
      </c>
      <c r="F1175" s="15">
        <f t="shared" si="97"/>
        <v>0</v>
      </c>
      <c r="G1175" s="15">
        <f t="shared" si="97"/>
        <v>0</v>
      </c>
      <c r="H1175" s="10"/>
    </row>
    <row r="1176" spans="1:8">
      <c r="A1176" s="11" t="s">
        <v>96</v>
      </c>
      <c r="B1176" s="15">
        <f t="shared" ref="B1176:G1176" si="98">SUM(D$1085:D$1087)</f>
        <v>380253.34897816367</v>
      </c>
      <c r="C1176" s="15">
        <f t="shared" si="98"/>
        <v>99949.009240555431</v>
      </c>
      <c r="D1176" s="15">
        <f t="shared" si="98"/>
        <v>0</v>
      </c>
      <c r="E1176" s="15">
        <f t="shared" si="98"/>
        <v>4731.6153284341281</v>
      </c>
      <c r="F1176" s="15">
        <f t="shared" si="98"/>
        <v>0</v>
      </c>
      <c r="G1176" s="15">
        <f t="shared" si="98"/>
        <v>0</v>
      </c>
      <c r="H1176" s="10"/>
    </row>
    <row r="1177" spans="1:8">
      <c r="A1177" s="11" t="s">
        <v>97</v>
      </c>
      <c r="B1177" s="15">
        <f t="shared" ref="B1177:G1177" si="99">SUM(D$1089:D$1089)</f>
        <v>517.04045501631606</v>
      </c>
      <c r="C1177" s="15">
        <f t="shared" si="99"/>
        <v>136.89783135294002</v>
      </c>
      <c r="D1177" s="15">
        <f t="shared" si="99"/>
        <v>0</v>
      </c>
      <c r="E1177" s="15">
        <f t="shared" si="99"/>
        <v>4</v>
      </c>
      <c r="F1177" s="15">
        <f t="shared" si="99"/>
        <v>0</v>
      </c>
      <c r="G1177" s="15">
        <f t="shared" si="99"/>
        <v>0</v>
      </c>
      <c r="H1177" s="10"/>
    </row>
    <row r="1178" spans="1:8">
      <c r="A1178" s="11" t="s">
        <v>110</v>
      </c>
      <c r="B1178" s="15">
        <f t="shared" ref="B1178:G1178" si="100">SUM(D$1091:D$1091)</f>
        <v>753.60754258070392</v>
      </c>
      <c r="C1178" s="15">
        <f t="shared" si="100"/>
        <v>161.59553674706402</v>
      </c>
      <c r="D1178" s="15">
        <f t="shared" si="100"/>
        <v>0</v>
      </c>
      <c r="E1178" s="15">
        <f t="shared" si="100"/>
        <v>13</v>
      </c>
      <c r="F1178" s="15">
        <f t="shared" si="100"/>
        <v>0</v>
      </c>
      <c r="G1178" s="15">
        <f t="shared" si="100"/>
        <v>0</v>
      </c>
      <c r="H1178" s="10"/>
    </row>
    <row r="1179" spans="1:8">
      <c r="A1179" s="11" t="s">
        <v>1647</v>
      </c>
      <c r="B1179" s="15">
        <f t="shared" ref="B1179:G1179" si="101">SUM(D$1093:D$1095)</f>
        <v>0</v>
      </c>
      <c r="C1179" s="15">
        <f t="shared" si="101"/>
        <v>0</v>
      </c>
      <c r="D1179" s="15">
        <f t="shared" si="101"/>
        <v>0</v>
      </c>
      <c r="E1179" s="15">
        <f t="shared" si="101"/>
        <v>0</v>
      </c>
      <c r="F1179" s="15">
        <f t="shared" si="101"/>
        <v>0</v>
      </c>
      <c r="G1179" s="15">
        <f t="shared" si="101"/>
        <v>0</v>
      </c>
      <c r="H1179" s="10"/>
    </row>
    <row r="1180" spans="1:8">
      <c r="A1180" s="11" t="s">
        <v>1646</v>
      </c>
      <c r="B1180" s="15">
        <f t="shared" ref="B1180:G1180" si="102">SUM(D$1097:D$1099)</f>
        <v>0</v>
      </c>
      <c r="C1180" s="15">
        <f t="shared" si="102"/>
        <v>0</v>
      </c>
      <c r="D1180" s="15">
        <f t="shared" si="102"/>
        <v>0</v>
      </c>
      <c r="E1180" s="15">
        <f t="shared" si="102"/>
        <v>0</v>
      </c>
      <c r="F1180" s="15">
        <f t="shared" si="102"/>
        <v>0</v>
      </c>
      <c r="G1180" s="15">
        <f t="shared" si="102"/>
        <v>0</v>
      </c>
      <c r="H1180" s="10"/>
    </row>
    <row r="1181" spans="1:8">
      <c r="A1181" s="11" t="s">
        <v>98</v>
      </c>
      <c r="B1181" s="15">
        <f t="shared" ref="B1181:G1181" si="103">SUM(D$1101:D$1103)</f>
        <v>105867.91684506623</v>
      </c>
      <c r="C1181" s="15">
        <f t="shared" si="103"/>
        <v>670114.36500563391</v>
      </c>
      <c r="D1181" s="15">
        <f t="shared" si="103"/>
        <v>495586.50866663799</v>
      </c>
      <c r="E1181" s="15">
        <f t="shared" si="103"/>
        <v>3118.230656868257</v>
      </c>
      <c r="F1181" s="15">
        <f t="shared" si="103"/>
        <v>580882.3069112387</v>
      </c>
      <c r="G1181" s="15">
        <f t="shared" si="103"/>
        <v>121363.73532662436</v>
      </c>
      <c r="H1181" s="10"/>
    </row>
    <row r="1182" spans="1:8">
      <c r="A1182" s="11" t="s">
        <v>99</v>
      </c>
      <c r="B1182" s="15">
        <f t="shared" ref="B1182:G1182" si="104">SUM(D$1105:D$1106)</f>
        <v>1574.7329902950655</v>
      </c>
      <c r="C1182" s="15">
        <f t="shared" si="104"/>
        <v>8893.1588313618013</v>
      </c>
      <c r="D1182" s="15">
        <f t="shared" si="104"/>
        <v>6622.9400567616804</v>
      </c>
      <c r="E1182" s="15">
        <f t="shared" si="104"/>
        <v>20.732542159447235</v>
      </c>
      <c r="F1182" s="15">
        <f t="shared" si="104"/>
        <v>6821.1244968260398</v>
      </c>
      <c r="G1182" s="15">
        <f t="shared" si="104"/>
        <v>1819.7554528035075</v>
      </c>
      <c r="H1182" s="10"/>
    </row>
    <row r="1183" spans="1:8">
      <c r="A1183" s="11" t="s">
        <v>111</v>
      </c>
      <c r="B1183" s="15">
        <f t="shared" ref="B1183:G1183" si="105">SUM(D$1108:D$1109)</f>
        <v>168663.230162814</v>
      </c>
      <c r="C1183" s="15">
        <f t="shared" si="105"/>
        <v>1018076.2483948281</v>
      </c>
      <c r="D1183" s="15">
        <f t="shared" si="105"/>
        <v>954732.84349892137</v>
      </c>
      <c r="E1183" s="15">
        <f t="shared" si="105"/>
        <v>598.27777974783419</v>
      </c>
      <c r="F1183" s="15">
        <f t="shared" si="105"/>
        <v>700005.19082072622</v>
      </c>
      <c r="G1183" s="15">
        <f t="shared" si="105"/>
        <v>161075.68902994492</v>
      </c>
      <c r="H1183" s="10"/>
    </row>
    <row r="1184" spans="1:8">
      <c r="A1184" s="11" t="s">
        <v>131</v>
      </c>
      <c r="B1184" s="15">
        <f t="shared" ref="B1184:G1184" si="106">SUM(D$1111:D$1113)</f>
        <v>7688.7695715680156</v>
      </c>
      <c r="C1184" s="15">
        <f t="shared" si="106"/>
        <v>0</v>
      </c>
      <c r="D1184" s="15">
        <f t="shared" si="106"/>
        <v>0</v>
      </c>
      <c r="E1184" s="15">
        <f t="shared" si="106"/>
        <v>514</v>
      </c>
      <c r="F1184" s="15">
        <f t="shared" si="106"/>
        <v>0</v>
      </c>
      <c r="G1184" s="15">
        <f t="shared" si="106"/>
        <v>0</v>
      </c>
      <c r="H1184" s="10"/>
    </row>
    <row r="1185" spans="1:8">
      <c r="A1185" s="11" t="s">
        <v>132</v>
      </c>
      <c r="B1185" s="15">
        <f t="shared" ref="B1185:G1185" si="107">SUM(D$1115:D$1117)</f>
        <v>6049.835122971047</v>
      </c>
      <c r="C1185" s="15">
        <f t="shared" si="107"/>
        <v>0</v>
      </c>
      <c r="D1185" s="15">
        <f t="shared" si="107"/>
        <v>0</v>
      </c>
      <c r="E1185" s="15">
        <f t="shared" si="107"/>
        <v>749</v>
      </c>
      <c r="F1185" s="15">
        <f t="shared" si="107"/>
        <v>0</v>
      </c>
      <c r="G1185" s="15">
        <f t="shared" si="107"/>
        <v>0</v>
      </c>
      <c r="H1185" s="10"/>
    </row>
    <row r="1186" spans="1:8">
      <c r="A1186" s="11" t="s">
        <v>133</v>
      </c>
      <c r="B1186" s="15">
        <f t="shared" ref="B1186:G1186" si="108">SUM(D$1119:D$1121)</f>
        <v>378.27038018128798</v>
      </c>
      <c r="C1186" s="15">
        <f t="shared" si="108"/>
        <v>0</v>
      </c>
      <c r="D1186" s="15">
        <f t="shared" si="108"/>
        <v>0</v>
      </c>
      <c r="E1186" s="15">
        <f t="shared" si="108"/>
        <v>84</v>
      </c>
      <c r="F1186" s="15">
        <f t="shared" si="108"/>
        <v>0</v>
      </c>
      <c r="G1186" s="15">
        <f t="shared" si="108"/>
        <v>0</v>
      </c>
      <c r="H1186" s="10"/>
    </row>
    <row r="1187" spans="1:8">
      <c r="A1187" s="11" t="s">
        <v>134</v>
      </c>
      <c r="B1187" s="15">
        <f t="shared" ref="B1187:G1187" si="109">SUM(D$1123:D$1125)</f>
        <v>0</v>
      </c>
      <c r="C1187" s="15">
        <f t="shared" si="109"/>
        <v>0</v>
      </c>
      <c r="D1187" s="15">
        <f t="shared" si="109"/>
        <v>0</v>
      </c>
      <c r="E1187" s="15">
        <f t="shared" si="109"/>
        <v>1</v>
      </c>
      <c r="F1187" s="15">
        <f t="shared" si="109"/>
        <v>0</v>
      </c>
      <c r="G1187" s="15">
        <f t="shared" si="109"/>
        <v>0</v>
      </c>
      <c r="H1187" s="10"/>
    </row>
    <row r="1188" spans="1:8">
      <c r="A1188" s="11" t="s">
        <v>135</v>
      </c>
      <c r="B1188" s="15">
        <f t="shared" ref="B1188:G1188" si="110">SUM(D$1127:D$1129)</f>
        <v>6228.0959976775684</v>
      </c>
      <c r="C1188" s="15">
        <f t="shared" si="110"/>
        <v>35918.74585465651</v>
      </c>
      <c r="D1188" s="15">
        <f t="shared" si="110"/>
        <v>102458.54632787764</v>
      </c>
      <c r="E1188" s="15">
        <f t="shared" si="110"/>
        <v>26</v>
      </c>
      <c r="F1188" s="15">
        <f t="shared" si="110"/>
        <v>0</v>
      </c>
      <c r="G1188" s="15">
        <f t="shared" si="110"/>
        <v>0</v>
      </c>
      <c r="H1188" s="10"/>
    </row>
    <row r="1189" spans="1:8">
      <c r="A1189" s="11" t="s">
        <v>1645</v>
      </c>
      <c r="B1189" s="15">
        <f t="shared" ref="B1189:G1189" si="111">SUM(D$1131:D$1133)</f>
        <v>602.29748729184382</v>
      </c>
      <c r="C1189" s="15">
        <f t="shared" si="111"/>
        <v>0</v>
      </c>
      <c r="D1189" s="15">
        <f t="shared" si="111"/>
        <v>0</v>
      </c>
      <c r="E1189" s="15">
        <f t="shared" si="111"/>
        <v>130</v>
      </c>
      <c r="F1189" s="15">
        <f t="shared" si="111"/>
        <v>0</v>
      </c>
      <c r="G1189" s="15">
        <f t="shared" si="111"/>
        <v>0</v>
      </c>
      <c r="H1189" s="10"/>
    </row>
    <row r="1190" spans="1:8">
      <c r="A1190" s="11" t="s">
        <v>100</v>
      </c>
      <c r="B1190" s="15">
        <f t="shared" ref="B1190:G1190" si="112">SUM(D$1135:D$1136)</f>
        <v>0</v>
      </c>
      <c r="C1190" s="15">
        <f t="shared" si="112"/>
        <v>0</v>
      </c>
      <c r="D1190" s="15">
        <f t="shared" si="112"/>
        <v>0</v>
      </c>
      <c r="E1190" s="15">
        <f t="shared" si="112"/>
        <v>0</v>
      </c>
      <c r="F1190" s="15">
        <f t="shared" si="112"/>
        <v>0</v>
      </c>
      <c r="G1190" s="15">
        <f t="shared" si="112"/>
        <v>0</v>
      </c>
      <c r="H1190" s="10"/>
    </row>
    <row r="1191" spans="1:8">
      <c r="A1191" s="11" t="s">
        <v>101</v>
      </c>
      <c r="B1191" s="15">
        <f t="shared" ref="B1191:G1191" si="113">SUM(D$1138:D$1140)</f>
        <v>9529.9504738031992</v>
      </c>
      <c r="C1191" s="15">
        <f t="shared" si="113"/>
        <v>0</v>
      </c>
      <c r="D1191" s="15">
        <f t="shared" si="113"/>
        <v>0</v>
      </c>
      <c r="E1191" s="15">
        <f t="shared" si="113"/>
        <v>146</v>
      </c>
      <c r="F1191" s="15">
        <f t="shared" si="113"/>
        <v>0</v>
      </c>
      <c r="G1191" s="15">
        <f t="shared" si="113"/>
        <v>338</v>
      </c>
      <c r="H1191" s="10"/>
    </row>
    <row r="1192" spans="1:8">
      <c r="A1192" s="11" t="s">
        <v>102</v>
      </c>
      <c r="B1192" s="15">
        <f t="shared" ref="B1192:G1192" si="114">SUM(D$1142:D$1144)</f>
        <v>130.2286029240839</v>
      </c>
      <c r="C1192" s="15">
        <f t="shared" si="114"/>
        <v>867.1493329537202</v>
      </c>
      <c r="D1192" s="15">
        <f t="shared" si="114"/>
        <v>897.89995991983972</v>
      </c>
      <c r="E1192" s="15">
        <f t="shared" si="114"/>
        <v>11</v>
      </c>
      <c r="F1192" s="15">
        <f t="shared" si="114"/>
        <v>0</v>
      </c>
      <c r="G1192" s="15">
        <f t="shared" si="114"/>
        <v>31</v>
      </c>
      <c r="H1192" s="10"/>
    </row>
    <row r="1193" spans="1:8">
      <c r="A1193" s="11" t="s">
        <v>103</v>
      </c>
      <c r="B1193" s="15">
        <f t="shared" ref="B1193:G1193" si="115">SUM(D$1146:D$1147)</f>
        <v>37.670999999999999</v>
      </c>
      <c r="C1193" s="15">
        <f t="shared" si="115"/>
        <v>0</v>
      </c>
      <c r="D1193" s="15">
        <f t="shared" si="115"/>
        <v>0</v>
      </c>
      <c r="E1193" s="15">
        <f t="shared" si="115"/>
        <v>1</v>
      </c>
      <c r="F1193" s="15">
        <f t="shared" si="115"/>
        <v>0</v>
      </c>
      <c r="G1193" s="15">
        <f t="shared" si="115"/>
        <v>0</v>
      </c>
      <c r="H1193" s="10"/>
    </row>
    <row r="1194" spans="1:8">
      <c r="A1194" s="11" t="s">
        <v>104</v>
      </c>
      <c r="B1194" s="15">
        <f t="shared" ref="B1194:G1194" si="116">SUM(D$1149:D$1150)</f>
        <v>0</v>
      </c>
      <c r="C1194" s="15">
        <f t="shared" si="116"/>
        <v>0</v>
      </c>
      <c r="D1194" s="15">
        <f t="shared" si="116"/>
        <v>0</v>
      </c>
      <c r="E1194" s="15">
        <f t="shared" si="116"/>
        <v>0</v>
      </c>
      <c r="F1194" s="15">
        <f t="shared" si="116"/>
        <v>0</v>
      </c>
      <c r="G1194" s="15">
        <f t="shared" si="116"/>
        <v>0</v>
      </c>
      <c r="H1194" s="10"/>
    </row>
    <row r="1195" spans="1:8">
      <c r="A1195" s="11" t="s">
        <v>112</v>
      </c>
      <c r="B1195" s="15">
        <f t="shared" ref="B1195:G1195" si="117">SUM(D$1152:D$1153)</f>
        <v>44577.689286771631</v>
      </c>
      <c r="C1195" s="15">
        <f t="shared" si="117"/>
        <v>0</v>
      </c>
      <c r="D1195" s="15">
        <f t="shared" si="117"/>
        <v>0</v>
      </c>
      <c r="E1195" s="15">
        <f t="shared" si="117"/>
        <v>27</v>
      </c>
      <c r="F1195" s="15">
        <f t="shared" si="117"/>
        <v>0</v>
      </c>
      <c r="G1195" s="15">
        <f t="shared" si="117"/>
        <v>859</v>
      </c>
      <c r="H1195" s="10"/>
    </row>
    <row r="1196" spans="1:8">
      <c r="A1196" s="11" t="s">
        <v>113</v>
      </c>
      <c r="B1196" s="15">
        <f t="shared" ref="B1196:G1196" si="118">SUM(D$1155:D$1156)</f>
        <v>9070.7235647319703</v>
      </c>
      <c r="C1196" s="15">
        <f t="shared" si="118"/>
        <v>44174.558442663067</v>
      </c>
      <c r="D1196" s="15">
        <f t="shared" si="118"/>
        <v>48120.15616862481</v>
      </c>
      <c r="E1196" s="15">
        <f t="shared" si="118"/>
        <v>27</v>
      </c>
      <c r="F1196" s="15">
        <f t="shared" si="118"/>
        <v>0</v>
      </c>
      <c r="G1196" s="15">
        <f t="shared" si="118"/>
        <v>742</v>
      </c>
      <c r="H1196" s="10"/>
    </row>
    <row r="1198" spans="1:8" ht="21" customHeight="1">
      <c r="A1198" s="1" t="str">
        <f>"Load characteristics for multiple unit rates"&amp;" for "&amp;CDCM!B7&amp;" in "&amp;CDCM!C7&amp;" ("&amp;CDCM!D7&amp;")"</f>
        <v>Load characteristics for multiple unit rates for 0 in 0 (0)</v>
      </c>
    </row>
    <row r="1200" spans="1:8" ht="21" customHeight="1">
      <c r="A1200" s="1" t="s">
        <v>441</v>
      </c>
    </row>
    <row r="1201" spans="1:6">
      <c r="A1201" s="2" t="s">
        <v>255</v>
      </c>
    </row>
    <row r="1202" spans="1:6">
      <c r="A1202" s="12" t="s">
        <v>442</v>
      </c>
    </row>
    <row r="1203" spans="1:6">
      <c r="A1203" s="12" t="s">
        <v>443</v>
      </c>
    </row>
    <row r="1204" spans="1:6">
      <c r="A1204" s="12" t="s">
        <v>444</v>
      </c>
    </row>
    <row r="1205" spans="1:6">
      <c r="A1205" s="21" t="s">
        <v>258</v>
      </c>
      <c r="B1205" s="21" t="s">
        <v>386</v>
      </c>
      <c r="C1205" s="21" t="s">
        <v>385</v>
      </c>
      <c r="D1205" s="21"/>
      <c r="E1205" s="21"/>
    </row>
    <row r="1206" spans="1:6">
      <c r="A1206" s="21" t="s">
        <v>261</v>
      </c>
      <c r="B1206" s="21" t="s">
        <v>436</v>
      </c>
      <c r="C1206" s="21" t="s">
        <v>445</v>
      </c>
      <c r="D1206" s="21"/>
      <c r="E1206" s="21"/>
    </row>
    <row r="1208" spans="1:6">
      <c r="C1208" s="20" t="s">
        <v>447</v>
      </c>
      <c r="D1208" s="20"/>
      <c r="E1208" s="20"/>
    </row>
    <row r="1209" spans="1:6">
      <c r="B1209" s="3" t="s">
        <v>446</v>
      </c>
      <c r="C1209" s="3" t="s">
        <v>233</v>
      </c>
      <c r="D1209" s="3" t="s">
        <v>234</v>
      </c>
      <c r="E1209" s="3" t="s">
        <v>235</v>
      </c>
    </row>
    <row r="1210" spans="1:6" ht="30">
      <c r="A1210" s="11" t="s">
        <v>448</v>
      </c>
      <c r="B1210" s="27">
        <f>SUM($B304:$D304)</f>
        <v>8784</v>
      </c>
      <c r="C1210" s="27">
        <f>B304*24*$F14/$B1210</f>
        <v>655</v>
      </c>
      <c r="D1210" s="27">
        <f>C304*24*$F14/$B1210</f>
        <v>3768</v>
      </c>
      <c r="E1210" s="27">
        <f>D304*24*$F14/$B1210</f>
        <v>4361</v>
      </c>
      <c r="F1210" s="10"/>
    </row>
    <row r="1212" spans="1:6" ht="21" customHeight="1">
      <c r="A1212" s="1" t="s">
        <v>449</v>
      </c>
    </row>
    <row r="1213" spans="1:6">
      <c r="A1213" s="2" t="s">
        <v>255</v>
      </c>
    </row>
    <row r="1214" spans="1:6">
      <c r="A1214" s="12" t="s">
        <v>450</v>
      </c>
    </row>
    <row r="1215" spans="1:6">
      <c r="A1215" s="12" t="s">
        <v>451</v>
      </c>
    </row>
    <row r="1216" spans="1:6">
      <c r="A1216" s="12" t="s">
        <v>452</v>
      </c>
    </row>
    <row r="1217" spans="1:6">
      <c r="A1217" s="12" t="s">
        <v>453</v>
      </c>
    </row>
    <row r="1218" spans="1:6">
      <c r="A1218" s="21" t="s">
        <v>258</v>
      </c>
      <c r="B1218" s="21" t="s">
        <v>386</v>
      </c>
      <c r="C1218" s="21" t="s">
        <v>385</v>
      </c>
      <c r="D1218" s="21"/>
      <c r="E1218" s="21"/>
    </row>
    <row r="1219" spans="1:6">
      <c r="A1219" s="21" t="s">
        <v>261</v>
      </c>
      <c r="B1219" s="21" t="s">
        <v>436</v>
      </c>
      <c r="C1219" s="21" t="s">
        <v>454</v>
      </c>
      <c r="D1219" s="21"/>
      <c r="E1219" s="21"/>
    </row>
    <row r="1221" spans="1:6">
      <c r="C1221" s="20" t="s">
        <v>456</v>
      </c>
      <c r="D1221" s="20"/>
      <c r="E1221" s="20"/>
    </row>
    <row r="1222" spans="1:6">
      <c r="B1222" s="3" t="s">
        <v>455</v>
      </c>
      <c r="C1222" s="3" t="s">
        <v>233</v>
      </c>
      <c r="D1222" s="3" t="s">
        <v>234</v>
      </c>
      <c r="E1222" s="3" t="s">
        <v>235</v>
      </c>
    </row>
    <row r="1223" spans="1:6">
      <c r="A1223" s="11" t="s">
        <v>92</v>
      </c>
      <c r="B1223" s="24">
        <f t="shared" ref="B1223:B1231" si="119">SUM($B265:$D265)</f>
        <v>1</v>
      </c>
      <c r="C1223" s="24">
        <f t="shared" ref="C1223:E1231" si="120">IF($B1223,B265/$B1223,C$1210/$F$14/24)</f>
        <v>0.11298330820969384</v>
      </c>
      <c r="D1223" s="24">
        <f t="shared" si="120"/>
        <v>0.50223801835264836</v>
      </c>
      <c r="E1223" s="24">
        <f t="shared" si="120"/>
        <v>0.38477867343765787</v>
      </c>
      <c r="F1223" s="10"/>
    </row>
    <row r="1224" spans="1:6">
      <c r="A1224" s="11" t="s">
        <v>93</v>
      </c>
      <c r="B1224" s="24">
        <f t="shared" si="119"/>
        <v>1</v>
      </c>
      <c r="C1224" s="24">
        <f t="shared" si="120"/>
        <v>0.13327131053018113</v>
      </c>
      <c r="D1224" s="24">
        <f t="shared" si="120"/>
        <v>0.57760793092211993</v>
      </c>
      <c r="E1224" s="24">
        <f t="shared" si="120"/>
        <v>0.28912075854769903</v>
      </c>
      <c r="F1224" s="10"/>
    </row>
    <row r="1225" spans="1:6">
      <c r="A1225" s="11" t="s">
        <v>129</v>
      </c>
      <c r="B1225" s="24">
        <f t="shared" si="119"/>
        <v>1</v>
      </c>
      <c r="C1225" s="24">
        <f t="shared" si="120"/>
        <v>2.8375924531958633E-7</v>
      </c>
      <c r="D1225" s="24">
        <f t="shared" si="120"/>
        <v>0.16926612955281603</v>
      </c>
      <c r="E1225" s="24">
        <f t="shared" si="120"/>
        <v>0.83073358668793862</v>
      </c>
      <c r="F1225" s="10"/>
    </row>
    <row r="1226" spans="1:6">
      <c r="A1226" s="11" t="s">
        <v>94</v>
      </c>
      <c r="B1226" s="24">
        <f t="shared" si="119"/>
        <v>0.99999999999999978</v>
      </c>
      <c r="C1226" s="24">
        <f t="shared" si="120"/>
        <v>7.120394655932534E-2</v>
      </c>
      <c r="D1226" s="24">
        <f t="shared" si="120"/>
        <v>0.58452126520102887</v>
      </c>
      <c r="E1226" s="24">
        <f t="shared" si="120"/>
        <v>0.34427478823964586</v>
      </c>
      <c r="F1226" s="10"/>
    </row>
    <row r="1227" spans="1:6">
      <c r="A1227" s="11" t="s">
        <v>95</v>
      </c>
      <c r="B1227" s="24">
        <f t="shared" si="119"/>
        <v>1</v>
      </c>
      <c r="C1227" s="24">
        <f t="shared" si="120"/>
        <v>9.7838540209257197E-2</v>
      </c>
      <c r="D1227" s="24">
        <f t="shared" si="120"/>
        <v>0.65520507591280774</v>
      </c>
      <c r="E1227" s="24">
        <f t="shared" si="120"/>
        <v>0.24695638387793503</v>
      </c>
      <c r="F1227" s="10"/>
    </row>
    <row r="1228" spans="1:6">
      <c r="A1228" s="11" t="s">
        <v>130</v>
      </c>
      <c r="B1228" s="24">
        <f t="shared" si="119"/>
        <v>0.99999999999999989</v>
      </c>
      <c r="C1228" s="24">
        <f t="shared" si="120"/>
        <v>8.9699691483682511E-5</v>
      </c>
      <c r="D1228" s="24">
        <f t="shared" si="120"/>
        <v>0.17771579837582266</v>
      </c>
      <c r="E1228" s="24">
        <f t="shared" si="120"/>
        <v>0.82219450193269372</v>
      </c>
      <c r="F1228" s="10"/>
    </row>
    <row r="1229" spans="1:6">
      <c r="A1229" s="11" t="s">
        <v>96</v>
      </c>
      <c r="B1229" s="24">
        <f t="shared" si="119"/>
        <v>1</v>
      </c>
      <c r="C1229" s="24">
        <f t="shared" si="120"/>
        <v>0.10118214285683957</v>
      </c>
      <c r="D1229" s="24">
        <f t="shared" si="120"/>
        <v>0.66091965296388588</v>
      </c>
      <c r="E1229" s="24">
        <f t="shared" si="120"/>
        <v>0.23789820417927454</v>
      </c>
      <c r="F1229" s="10"/>
    </row>
    <row r="1230" spans="1:6">
      <c r="A1230" s="11" t="s">
        <v>97</v>
      </c>
      <c r="B1230" s="24">
        <f t="shared" si="119"/>
        <v>1</v>
      </c>
      <c r="C1230" s="24">
        <f t="shared" si="120"/>
        <v>9.9173095445870232E-2</v>
      </c>
      <c r="D1230" s="24">
        <f t="shared" si="120"/>
        <v>0.66646341204630843</v>
      </c>
      <c r="E1230" s="24">
        <f t="shared" si="120"/>
        <v>0.23436349250782129</v>
      </c>
      <c r="F1230" s="10"/>
    </row>
    <row r="1231" spans="1:6">
      <c r="A1231" s="11" t="s">
        <v>110</v>
      </c>
      <c r="B1231" s="24">
        <f t="shared" si="119"/>
        <v>1</v>
      </c>
      <c r="C1231" s="24">
        <f t="shared" si="120"/>
        <v>9.9001646523263931E-2</v>
      </c>
      <c r="D1231" s="24">
        <f t="shared" si="120"/>
        <v>0.69464097956994497</v>
      </c>
      <c r="E1231" s="24">
        <f t="shared" si="120"/>
        <v>0.2063573739067911</v>
      </c>
      <c r="F1231" s="10"/>
    </row>
    <row r="1233" spans="1:5" ht="21" customHeight="1">
      <c r="A1233" s="1" t="s">
        <v>457</v>
      </c>
    </row>
    <row r="1234" spans="1:5">
      <c r="A1234" s="2" t="s">
        <v>255</v>
      </c>
    </row>
    <row r="1235" spans="1:5">
      <c r="A1235" s="12" t="s">
        <v>458</v>
      </c>
    </row>
    <row r="1236" spans="1:5">
      <c r="A1236" s="2" t="s">
        <v>459</v>
      </c>
    </row>
    <row r="1237" spans="1:5">
      <c r="A1237" s="2" t="s">
        <v>273</v>
      </c>
    </row>
    <row r="1239" spans="1:5">
      <c r="B1239" s="3" t="s">
        <v>233</v>
      </c>
      <c r="C1239" s="3" t="s">
        <v>234</v>
      </c>
      <c r="D1239" s="3" t="s">
        <v>235</v>
      </c>
    </row>
    <row r="1240" spans="1:5">
      <c r="A1240" s="11" t="s">
        <v>92</v>
      </c>
      <c r="B1240" s="26">
        <f>C$1223</f>
        <v>0.11298330820969384</v>
      </c>
      <c r="C1240" s="26">
        <f>D$1223</f>
        <v>0.50223801835264836</v>
      </c>
      <c r="D1240" s="26">
        <f>E$1223</f>
        <v>0.38477867343765787</v>
      </c>
      <c r="E1240" s="10"/>
    </row>
    <row r="1241" spans="1:5">
      <c r="A1241" s="11" t="s">
        <v>93</v>
      </c>
      <c r="B1241" s="26">
        <f>C$1224</f>
        <v>0.13327131053018113</v>
      </c>
      <c r="C1241" s="26">
        <f>D$1224</f>
        <v>0.57760793092211993</v>
      </c>
      <c r="D1241" s="26">
        <f>E$1224</f>
        <v>0.28912075854769903</v>
      </c>
      <c r="E1241" s="10"/>
    </row>
    <row r="1242" spans="1:5">
      <c r="A1242" s="11" t="s">
        <v>129</v>
      </c>
      <c r="B1242" s="26">
        <f>C$1225</f>
        <v>2.8375924531958633E-7</v>
      </c>
      <c r="C1242" s="26">
        <f>D$1225</f>
        <v>0.16926612955281603</v>
      </c>
      <c r="D1242" s="26">
        <f>E$1225</f>
        <v>0.83073358668793862</v>
      </c>
      <c r="E1242" s="10"/>
    </row>
    <row r="1243" spans="1:5">
      <c r="A1243" s="11" t="s">
        <v>94</v>
      </c>
      <c r="B1243" s="26">
        <f>C$1226</f>
        <v>7.120394655932534E-2</v>
      </c>
      <c r="C1243" s="26">
        <f>D$1226</f>
        <v>0.58452126520102887</v>
      </c>
      <c r="D1243" s="26">
        <f>E$1226</f>
        <v>0.34427478823964586</v>
      </c>
      <c r="E1243" s="10"/>
    </row>
    <row r="1244" spans="1:5">
      <c r="A1244" s="11" t="s">
        <v>95</v>
      </c>
      <c r="B1244" s="26">
        <f>C$1227</f>
        <v>9.7838540209257197E-2</v>
      </c>
      <c r="C1244" s="26">
        <f>D$1227</f>
        <v>0.65520507591280774</v>
      </c>
      <c r="D1244" s="26">
        <f>E$1227</f>
        <v>0.24695638387793503</v>
      </c>
      <c r="E1244" s="10"/>
    </row>
    <row r="1245" spans="1:5">
      <c r="A1245" s="11" t="s">
        <v>130</v>
      </c>
      <c r="B1245" s="26">
        <f>C$1228</f>
        <v>8.9699691483682511E-5</v>
      </c>
      <c r="C1245" s="26">
        <f>D$1228</f>
        <v>0.17771579837582266</v>
      </c>
      <c r="D1245" s="26">
        <f>E$1228</f>
        <v>0.82219450193269372</v>
      </c>
      <c r="E1245" s="10"/>
    </row>
    <row r="1246" spans="1:5">
      <c r="A1246" s="11" t="s">
        <v>96</v>
      </c>
      <c r="B1246" s="26">
        <f>C$1229</f>
        <v>0.10118214285683957</v>
      </c>
      <c r="C1246" s="26">
        <f>D$1229</f>
        <v>0.66091965296388588</v>
      </c>
      <c r="D1246" s="26">
        <f>E$1229</f>
        <v>0.23789820417927454</v>
      </c>
      <c r="E1246" s="10"/>
    </row>
    <row r="1247" spans="1:5">
      <c r="A1247" s="11" t="s">
        <v>97</v>
      </c>
      <c r="B1247" s="26">
        <f>C$1230</f>
        <v>9.9173095445870232E-2</v>
      </c>
      <c r="C1247" s="26">
        <f>D$1230</f>
        <v>0.66646341204630843</v>
      </c>
      <c r="D1247" s="26">
        <f>E$1230</f>
        <v>0.23436349250782129</v>
      </c>
      <c r="E1247" s="10"/>
    </row>
    <row r="1248" spans="1:5">
      <c r="A1248" s="11" t="s">
        <v>110</v>
      </c>
      <c r="B1248" s="26">
        <f>C$1231</f>
        <v>9.9001646523263931E-2</v>
      </c>
      <c r="C1248" s="26">
        <f>D$1231</f>
        <v>0.69464097956994497</v>
      </c>
      <c r="D1248" s="26">
        <f>E$1231</f>
        <v>0.2063573739067911</v>
      </c>
      <c r="E1248" s="10"/>
    </row>
    <row r="1249" spans="1:5">
      <c r="A1249" s="11" t="s">
        <v>1647</v>
      </c>
      <c r="B1249" s="25">
        <v>1</v>
      </c>
      <c r="C1249" s="25">
        <v>0</v>
      </c>
      <c r="D1249" s="25">
        <v>0</v>
      </c>
      <c r="E1249" s="10"/>
    </row>
    <row r="1250" spans="1:5">
      <c r="A1250" s="11" t="s">
        <v>1646</v>
      </c>
      <c r="B1250" s="25">
        <v>1</v>
      </c>
      <c r="C1250" s="25">
        <v>0</v>
      </c>
      <c r="D1250" s="25">
        <v>0</v>
      </c>
      <c r="E1250" s="10"/>
    </row>
    <row r="1251" spans="1:5">
      <c r="A1251" s="11" t="s">
        <v>98</v>
      </c>
      <c r="B1251" s="25">
        <v>1</v>
      </c>
      <c r="C1251" s="25">
        <v>0</v>
      </c>
      <c r="D1251" s="25">
        <v>0</v>
      </c>
      <c r="E1251" s="10"/>
    </row>
    <row r="1252" spans="1:5">
      <c r="A1252" s="11" t="s">
        <v>99</v>
      </c>
      <c r="B1252" s="25">
        <v>1</v>
      </c>
      <c r="C1252" s="25">
        <v>0</v>
      </c>
      <c r="D1252" s="25">
        <v>0</v>
      </c>
      <c r="E1252" s="10"/>
    </row>
    <row r="1253" spans="1:5">
      <c r="A1253" s="11" t="s">
        <v>111</v>
      </c>
      <c r="B1253" s="25">
        <v>1</v>
      </c>
      <c r="C1253" s="25">
        <v>0</v>
      </c>
      <c r="D1253" s="25">
        <v>0</v>
      </c>
      <c r="E1253" s="10"/>
    </row>
    <row r="1254" spans="1:5">
      <c r="A1254" s="11" t="s">
        <v>102</v>
      </c>
      <c r="B1254" s="25">
        <v>1</v>
      </c>
      <c r="C1254" s="25">
        <v>0</v>
      </c>
      <c r="D1254" s="25">
        <v>0</v>
      </c>
      <c r="E1254" s="10"/>
    </row>
    <row r="1255" spans="1:5">
      <c r="A1255" s="11" t="s">
        <v>104</v>
      </c>
      <c r="B1255" s="25">
        <v>1</v>
      </c>
      <c r="C1255" s="25">
        <v>0</v>
      </c>
      <c r="D1255" s="25">
        <v>0</v>
      </c>
      <c r="E1255" s="10"/>
    </row>
    <row r="1256" spans="1:5">
      <c r="A1256" s="11" t="s">
        <v>113</v>
      </c>
      <c r="B1256" s="25">
        <v>1</v>
      </c>
      <c r="C1256" s="25">
        <v>0</v>
      </c>
      <c r="D1256" s="25">
        <v>0</v>
      </c>
      <c r="E1256" s="10"/>
    </row>
    <row r="1258" spans="1:5" ht="21" customHeight="1">
      <c r="A1258" s="1" t="s">
        <v>460</v>
      </c>
    </row>
    <row r="1259" spans="1:5">
      <c r="A1259" s="2" t="s">
        <v>255</v>
      </c>
    </row>
    <row r="1260" spans="1:5">
      <c r="A1260" s="12" t="s">
        <v>461</v>
      </c>
    </row>
    <row r="1261" spans="1:5">
      <c r="A1261" s="12" t="s">
        <v>462</v>
      </c>
    </row>
    <row r="1262" spans="1:5">
      <c r="A1262" s="12" t="s">
        <v>452</v>
      </c>
    </row>
    <row r="1263" spans="1:5">
      <c r="A1263" s="12" t="s">
        <v>453</v>
      </c>
    </row>
    <row r="1264" spans="1:5">
      <c r="A1264" s="21" t="s">
        <v>258</v>
      </c>
      <c r="B1264" s="21" t="s">
        <v>386</v>
      </c>
      <c r="C1264" s="21" t="s">
        <v>385</v>
      </c>
      <c r="D1264" s="21"/>
      <c r="E1264" s="21"/>
    </row>
    <row r="1265" spans="1:6">
      <c r="A1265" s="21" t="s">
        <v>261</v>
      </c>
      <c r="B1265" s="21" t="s">
        <v>436</v>
      </c>
      <c r="C1265" s="21" t="s">
        <v>454</v>
      </c>
      <c r="D1265" s="21"/>
      <c r="E1265" s="21"/>
    </row>
    <row r="1267" spans="1:6">
      <c r="C1267" s="20" t="s">
        <v>463</v>
      </c>
      <c r="D1267" s="20"/>
      <c r="E1267" s="20"/>
    </row>
    <row r="1268" spans="1:6">
      <c r="B1268" s="3" t="s">
        <v>455</v>
      </c>
      <c r="C1268" s="3" t="s">
        <v>233</v>
      </c>
      <c r="D1268" s="3" t="s">
        <v>234</v>
      </c>
      <c r="E1268" s="3" t="s">
        <v>235</v>
      </c>
    </row>
    <row r="1269" spans="1:6">
      <c r="A1269" s="11" t="s">
        <v>93</v>
      </c>
      <c r="B1269" s="24">
        <f>SUM($B278:$D278)</f>
        <v>1</v>
      </c>
      <c r="C1269" s="24">
        <f t="shared" ref="C1269:E1273" si="121">IF($B1269,B278/$B1269,C$1210/$F$14/24)</f>
        <v>0</v>
      </c>
      <c r="D1269" s="24">
        <f t="shared" si="121"/>
        <v>3.4830602664601619E-2</v>
      </c>
      <c r="E1269" s="24">
        <f t="shared" si="121"/>
        <v>0.96516939733539842</v>
      </c>
      <c r="F1269" s="10"/>
    </row>
    <row r="1270" spans="1:6">
      <c r="A1270" s="11" t="s">
        <v>95</v>
      </c>
      <c r="B1270" s="24">
        <f>SUM($B279:$D279)</f>
        <v>1</v>
      </c>
      <c r="C1270" s="24">
        <f t="shared" si="121"/>
        <v>1.6556870442601376E-8</v>
      </c>
      <c r="D1270" s="24">
        <f t="shared" si="121"/>
        <v>5.869529563813064E-2</v>
      </c>
      <c r="E1270" s="24">
        <f t="shared" si="121"/>
        <v>0.94130468780499887</v>
      </c>
      <c r="F1270" s="10"/>
    </row>
    <row r="1271" spans="1:6">
      <c r="A1271" s="11" t="s">
        <v>96</v>
      </c>
      <c r="B1271" s="24">
        <f>SUM($B280:$D280)</f>
        <v>1.0000000000000002</v>
      </c>
      <c r="C1271" s="24">
        <f t="shared" si="121"/>
        <v>0</v>
      </c>
      <c r="D1271" s="24">
        <f t="shared" si="121"/>
        <v>5.1301871668323704E-3</v>
      </c>
      <c r="E1271" s="24">
        <f t="shared" si="121"/>
        <v>0.99486981283316755</v>
      </c>
      <c r="F1271" s="10"/>
    </row>
    <row r="1272" spans="1:6">
      <c r="A1272" s="11" t="s">
        <v>97</v>
      </c>
      <c r="B1272" s="24">
        <f>SUM($B281:$D281)</f>
        <v>1</v>
      </c>
      <c r="C1272" s="24">
        <f t="shared" si="121"/>
        <v>0</v>
      </c>
      <c r="D1272" s="24">
        <f t="shared" si="121"/>
        <v>3.213521583597959E-3</v>
      </c>
      <c r="E1272" s="24">
        <f t="shared" si="121"/>
        <v>0.99678647841640211</v>
      </c>
      <c r="F1272" s="10"/>
    </row>
    <row r="1273" spans="1:6">
      <c r="A1273" s="11" t="s">
        <v>110</v>
      </c>
      <c r="B1273" s="24">
        <f>SUM($B282:$D282)</f>
        <v>0.99999999999999989</v>
      </c>
      <c r="C1273" s="24">
        <f t="shared" si="121"/>
        <v>0</v>
      </c>
      <c r="D1273" s="24">
        <f t="shared" si="121"/>
        <v>4.2256521599561107E-3</v>
      </c>
      <c r="E1273" s="24">
        <f t="shared" si="121"/>
        <v>0.99577434784004393</v>
      </c>
      <c r="F1273" s="10"/>
    </row>
    <row r="1275" spans="1:6" ht="21" customHeight="1">
      <c r="A1275" s="1" t="s">
        <v>464</v>
      </c>
    </row>
    <row r="1276" spans="1:6">
      <c r="A1276" s="2" t="s">
        <v>255</v>
      </c>
    </row>
    <row r="1277" spans="1:6">
      <c r="A1277" s="12" t="s">
        <v>465</v>
      </c>
    </row>
    <row r="1278" spans="1:6">
      <c r="A1278" s="2" t="s">
        <v>466</v>
      </c>
    </row>
    <row r="1279" spans="1:6">
      <c r="A1279" s="2" t="s">
        <v>273</v>
      </c>
    </row>
    <row r="1281" spans="1:5">
      <c r="B1281" s="3" t="s">
        <v>233</v>
      </c>
      <c r="C1281" s="3" t="s">
        <v>234</v>
      </c>
      <c r="D1281" s="3" t="s">
        <v>235</v>
      </c>
    </row>
    <row r="1282" spans="1:5">
      <c r="A1282" s="11" t="s">
        <v>93</v>
      </c>
      <c r="B1282" s="26">
        <f>C$1269</f>
        <v>0</v>
      </c>
      <c r="C1282" s="26">
        <f>D$1269</f>
        <v>3.4830602664601619E-2</v>
      </c>
      <c r="D1282" s="26">
        <f>E$1269</f>
        <v>0.96516939733539842</v>
      </c>
      <c r="E1282" s="10"/>
    </row>
    <row r="1283" spans="1:5">
      <c r="A1283" s="11" t="s">
        <v>95</v>
      </c>
      <c r="B1283" s="26">
        <f>C$1270</f>
        <v>1.6556870442601376E-8</v>
      </c>
      <c r="C1283" s="26">
        <f>D$1270</f>
        <v>5.869529563813064E-2</v>
      </c>
      <c r="D1283" s="26">
        <f>E$1270</f>
        <v>0.94130468780499887</v>
      </c>
      <c r="E1283" s="10"/>
    </row>
    <row r="1284" spans="1:5">
      <c r="A1284" s="11" t="s">
        <v>96</v>
      </c>
      <c r="B1284" s="26">
        <f>C$1271</f>
        <v>0</v>
      </c>
      <c r="C1284" s="26">
        <f>D$1271</f>
        <v>5.1301871668323704E-3</v>
      </c>
      <c r="D1284" s="26">
        <f>E$1271</f>
        <v>0.99486981283316755</v>
      </c>
      <c r="E1284" s="10"/>
    </row>
    <row r="1285" spans="1:5">
      <c r="A1285" s="11" t="s">
        <v>97</v>
      </c>
      <c r="B1285" s="26">
        <f>C$1272</f>
        <v>0</v>
      </c>
      <c r="C1285" s="26">
        <f>D$1272</f>
        <v>3.213521583597959E-3</v>
      </c>
      <c r="D1285" s="26">
        <f>E$1272</f>
        <v>0.99678647841640211</v>
      </c>
      <c r="E1285" s="10"/>
    </row>
    <row r="1286" spans="1:5">
      <c r="A1286" s="11" t="s">
        <v>110</v>
      </c>
      <c r="B1286" s="26">
        <f>C$1273</f>
        <v>0</v>
      </c>
      <c r="C1286" s="26">
        <f>D$1273</f>
        <v>4.2256521599561107E-3</v>
      </c>
      <c r="D1286" s="26">
        <f>E$1273</f>
        <v>0.99577434784004393</v>
      </c>
      <c r="E1286" s="10"/>
    </row>
    <row r="1287" spans="1:5">
      <c r="A1287" s="11" t="s">
        <v>1647</v>
      </c>
      <c r="B1287" s="25">
        <v>0</v>
      </c>
      <c r="C1287" s="25">
        <v>1</v>
      </c>
      <c r="D1287" s="25">
        <v>0</v>
      </c>
      <c r="E1287" s="10"/>
    </row>
    <row r="1288" spans="1:5">
      <c r="A1288" s="11" t="s">
        <v>1646</v>
      </c>
      <c r="B1288" s="25">
        <v>0</v>
      </c>
      <c r="C1288" s="25">
        <v>1</v>
      </c>
      <c r="D1288" s="25">
        <v>0</v>
      </c>
      <c r="E1288" s="10"/>
    </row>
    <row r="1289" spans="1:5">
      <c r="A1289" s="11" t="s">
        <v>98</v>
      </c>
      <c r="B1289" s="25">
        <v>0</v>
      </c>
      <c r="C1289" s="25">
        <v>1</v>
      </c>
      <c r="D1289" s="25">
        <v>0</v>
      </c>
      <c r="E1289" s="10"/>
    </row>
    <row r="1290" spans="1:5">
      <c r="A1290" s="11" t="s">
        <v>99</v>
      </c>
      <c r="B1290" s="25">
        <v>0</v>
      </c>
      <c r="C1290" s="25">
        <v>1</v>
      </c>
      <c r="D1290" s="25">
        <v>0</v>
      </c>
      <c r="E1290" s="10"/>
    </row>
    <row r="1291" spans="1:5">
      <c r="A1291" s="11" t="s">
        <v>111</v>
      </c>
      <c r="B1291" s="25">
        <v>0</v>
      </c>
      <c r="C1291" s="25">
        <v>1</v>
      </c>
      <c r="D1291" s="25">
        <v>0</v>
      </c>
      <c r="E1291" s="10"/>
    </row>
    <row r="1292" spans="1:5">
      <c r="A1292" s="11" t="s">
        <v>102</v>
      </c>
      <c r="B1292" s="25">
        <v>0</v>
      </c>
      <c r="C1292" s="25">
        <v>1</v>
      </c>
      <c r="D1292" s="25">
        <v>0</v>
      </c>
      <c r="E1292" s="10"/>
    </row>
    <row r="1293" spans="1:5">
      <c r="A1293" s="11" t="s">
        <v>104</v>
      </c>
      <c r="B1293" s="25">
        <v>0</v>
      </c>
      <c r="C1293" s="25">
        <v>1</v>
      </c>
      <c r="D1293" s="25">
        <v>0</v>
      </c>
      <c r="E1293" s="10"/>
    </row>
    <row r="1294" spans="1:5">
      <c r="A1294" s="11" t="s">
        <v>113</v>
      </c>
      <c r="B1294" s="25">
        <v>0</v>
      </c>
      <c r="C1294" s="25">
        <v>1</v>
      </c>
      <c r="D1294" s="25">
        <v>0</v>
      </c>
      <c r="E1294" s="10"/>
    </row>
    <row r="1296" spans="1:5" ht="21" customHeight="1">
      <c r="A1296" s="1" t="s">
        <v>467</v>
      </c>
    </row>
    <row r="1298" spans="1:5">
      <c r="B1298" s="3" t="s">
        <v>233</v>
      </c>
      <c r="C1298" s="3" t="s">
        <v>234</v>
      </c>
      <c r="D1298" s="3" t="s">
        <v>235</v>
      </c>
    </row>
    <row r="1299" spans="1:5">
      <c r="A1299" s="11" t="s">
        <v>1647</v>
      </c>
      <c r="B1299" s="25">
        <v>0</v>
      </c>
      <c r="C1299" s="25">
        <v>0</v>
      </c>
      <c r="D1299" s="25">
        <v>1</v>
      </c>
      <c r="E1299" s="10"/>
    </row>
    <row r="1300" spans="1:5">
      <c r="A1300" s="11" t="s">
        <v>1646</v>
      </c>
      <c r="B1300" s="25">
        <v>0</v>
      </c>
      <c r="C1300" s="25">
        <v>0</v>
      </c>
      <c r="D1300" s="25">
        <v>1</v>
      </c>
      <c r="E1300" s="10"/>
    </row>
    <row r="1301" spans="1:5">
      <c r="A1301" s="11" t="s">
        <v>98</v>
      </c>
      <c r="B1301" s="25">
        <v>0</v>
      </c>
      <c r="C1301" s="25">
        <v>0</v>
      </c>
      <c r="D1301" s="25">
        <v>1</v>
      </c>
      <c r="E1301" s="10"/>
    </row>
    <row r="1302" spans="1:5">
      <c r="A1302" s="11" t="s">
        <v>99</v>
      </c>
      <c r="B1302" s="25">
        <v>0</v>
      </c>
      <c r="C1302" s="25">
        <v>0</v>
      </c>
      <c r="D1302" s="25">
        <v>1</v>
      </c>
      <c r="E1302" s="10"/>
    </row>
    <row r="1303" spans="1:5">
      <c r="A1303" s="11" t="s">
        <v>111</v>
      </c>
      <c r="B1303" s="25">
        <v>0</v>
      </c>
      <c r="C1303" s="25">
        <v>0</v>
      </c>
      <c r="D1303" s="25">
        <v>1</v>
      </c>
      <c r="E1303" s="10"/>
    </row>
    <row r="1304" spans="1:5">
      <c r="A1304" s="11" t="s">
        <v>102</v>
      </c>
      <c r="B1304" s="25">
        <v>0</v>
      </c>
      <c r="C1304" s="25">
        <v>0</v>
      </c>
      <c r="D1304" s="25">
        <v>1</v>
      </c>
      <c r="E1304" s="10"/>
    </row>
    <row r="1305" spans="1:5">
      <c r="A1305" s="11" t="s">
        <v>104</v>
      </c>
      <c r="B1305" s="25">
        <v>0</v>
      </c>
      <c r="C1305" s="25">
        <v>0</v>
      </c>
      <c r="D1305" s="25">
        <v>1</v>
      </c>
      <c r="E1305" s="10"/>
    </row>
    <row r="1306" spans="1:5">
      <c r="A1306" s="11" t="s">
        <v>113</v>
      </c>
      <c r="B1306" s="25">
        <v>0</v>
      </c>
      <c r="C1306" s="25">
        <v>0</v>
      </c>
      <c r="D1306" s="25">
        <v>1</v>
      </c>
      <c r="E1306" s="10"/>
    </row>
    <row r="1308" spans="1:5" ht="21" customHeight="1">
      <c r="A1308" s="1" t="s">
        <v>468</v>
      </c>
    </row>
    <row r="1309" spans="1:5">
      <c r="A1309" s="2" t="s">
        <v>255</v>
      </c>
    </row>
    <row r="1310" spans="1:5">
      <c r="A1310" s="12" t="s">
        <v>469</v>
      </c>
    </row>
    <row r="1311" spans="1:5">
      <c r="A1311" s="12" t="s">
        <v>470</v>
      </c>
    </row>
    <row r="1312" spans="1:5">
      <c r="A1312" s="12" t="s">
        <v>471</v>
      </c>
    </row>
    <row r="1313" spans="1:3">
      <c r="A1313" s="2" t="s">
        <v>472</v>
      </c>
    </row>
    <row r="1315" spans="1:3">
      <c r="B1315" s="3" t="s">
        <v>473</v>
      </c>
    </row>
    <row r="1316" spans="1:3">
      <c r="A1316" s="11" t="s">
        <v>92</v>
      </c>
      <c r="B1316" s="15">
        <f t="shared" ref="B1316:B1342" si="122">B1170+C1170+D1170</f>
        <v>3248330.6199235553</v>
      </c>
      <c r="C1316" s="10"/>
    </row>
    <row r="1317" spans="1:3">
      <c r="A1317" s="11" t="s">
        <v>93</v>
      </c>
      <c r="B1317" s="15">
        <f t="shared" si="122"/>
        <v>360428.16525546124</v>
      </c>
      <c r="C1317" s="10"/>
    </row>
    <row r="1318" spans="1:3">
      <c r="A1318" s="11" t="s">
        <v>129</v>
      </c>
      <c r="B1318" s="15">
        <f t="shared" si="122"/>
        <v>3613.1440975729997</v>
      </c>
      <c r="C1318" s="10"/>
    </row>
    <row r="1319" spans="1:3">
      <c r="A1319" s="11" t="s">
        <v>94</v>
      </c>
      <c r="B1319" s="15">
        <f t="shared" si="122"/>
        <v>824218.88200266846</v>
      </c>
      <c r="C1319" s="10"/>
    </row>
    <row r="1320" spans="1:3">
      <c r="A1320" s="11" t="s">
        <v>95</v>
      </c>
      <c r="B1320" s="15">
        <f t="shared" si="122"/>
        <v>299972.47315486672</v>
      </c>
      <c r="C1320" s="10"/>
    </row>
    <row r="1321" spans="1:3">
      <c r="A1321" s="11" t="s">
        <v>130</v>
      </c>
      <c r="B1321" s="15">
        <f t="shared" si="122"/>
        <v>2262.2093594051807</v>
      </c>
      <c r="C1321" s="10"/>
    </row>
    <row r="1322" spans="1:3">
      <c r="A1322" s="11" t="s">
        <v>96</v>
      </c>
      <c r="B1322" s="15">
        <f t="shared" si="122"/>
        <v>480202.35821871914</v>
      </c>
      <c r="C1322" s="10"/>
    </row>
    <row r="1323" spans="1:3">
      <c r="A1323" s="11" t="s">
        <v>97</v>
      </c>
      <c r="B1323" s="15">
        <f t="shared" si="122"/>
        <v>653.93828636925605</v>
      </c>
      <c r="C1323" s="10"/>
    </row>
    <row r="1324" spans="1:3">
      <c r="A1324" s="11" t="s">
        <v>110</v>
      </c>
      <c r="B1324" s="15">
        <f t="shared" si="122"/>
        <v>915.20307932776791</v>
      </c>
      <c r="C1324" s="10"/>
    </row>
    <row r="1325" spans="1:3">
      <c r="A1325" s="11" t="s">
        <v>1647</v>
      </c>
      <c r="B1325" s="15">
        <f t="shared" si="122"/>
        <v>0</v>
      </c>
      <c r="C1325" s="10"/>
    </row>
    <row r="1326" spans="1:3">
      <c r="A1326" s="11" t="s">
        <v>1646</v>
      </c>
      <c r="B1326" s="15">
        <f t="shared" si="122"/>
        <v>0</v>
      </c>
      <c r="C1326" s="10"/>
    </row>
    <row r="1327" spans="1:3">
      <c r="A1327" s="11" t="s">
        <v>98</v>
      </c>
      <c r="B1327" s="15">
        <f t="shared" si="122"/>
        <v>1271568.7905173381</v>
      </c>
      <c r="C1327" s="10"/>
    </row>
    <row r="1328" spans="1:3">
      <c r="A1328" s="11" t="s">
        <v>99</v>
      </c>
      <c r="B1328" s="15">
        <f t="shared" si="122"/>
        <v>17090.831878418547</v>
      </c>
      <c r="C1328" s="10"/>
    </row>
    <row r="1329" spans="1:3">
      <c r="A1329" s="11" t="s">
        <v>111</v>
      </c>
      <c r="B1329" s="15">
        <f t="shared" si="122"/>
        <v>2141472.3220565636</v>
      </c>
      <c r="C1329" s="10"/>
    </row>
    <row r="1330" spans="1:3">
      <c r="A1330" s="11" t="s">
        <v>131</v>
      </c>
      <c r="B1330" s="15">
        <f t="shared" si="122"/>
        <v>7688.7695715680156</v>
      </c>
      <c r="C1330" s="10"/>
    </row>
    <row r="1331" spans="1:3">
      <c r="A1331" s="11" t="s">
        <v>132</v>
      </c>
      <c r="B1331" s="15">
        <f t="shared" si="122"/>
        <v>6049.835122971047</v>
      </c>
      <c r="C1331" s="10"/>
    </row>
    <row r="1332" spans="1:3">
      <c r="A1332" s="11" t="s">
        <v>133</v>
      </c>
      <c r="B1332" s="15">
        <f t="shared" si="122"/>
        <v>378.27038018128798</v>
      </c>
      <c r="C1332" s="10"/>
    </row>
    <row r="1333" spans="1:3">
      <c r="A1333" s="11" t="s">
        <v>134</v>
      </c>
      <c r="B1333" s="15">
        <f t="shared" si="122"/>
        <v>0</v>
      </c>
      <c r="C1333" s="10"/>
    </row>
    <row r="1334" spans="1:3">
      <c r="A1334" s="11" t="s">
        <v>135</v>
      </c>
      <c r="B1334" s="15">
        <f t="shared" si="122"/>
        <v>144605.38818021171</v>
      </c>
      <c r="C1334" s="10"/>
    </row>
    <row r="1335" spans="1:3">
      <c r="A1335" s="11" t="s">
        <v>1645</v>
      </c>
      <c r="B1335" s="15">
        <f t="shared" si="122"/>
        <v>602.29748729184382</v>
      </c>
      <c r="C1335" s="10"/>
    </row>
    <row r="1336" spans="1:3">
      <c r="A1336" s="11" t="s">
        <v>100</v>
      </c>
      <c r="B1336" s="15">
        <f t="shared" si="122"/>
        <v>0</v>
      </c>
      <c r="C1336" s="10"/>
    </row>
    <row r="1337" spans="1:3">
      <c r="A1337" s="11" t="s">
        <v>101</v>
      </c>
      <c r="B1337" s="15">
        <f t="shared" si="122"/>
        <v>9529.9504738031992</v>
      </c>
      <c r="C1337" s="10"/>
    </row>
    <row r="1338" spans="1:3">
      <c r="A1338" s="11" t="s">
        <v>102</v>
      </c>
      <c r="B1338" s="15">
        <f t="shared" si="122"/>
        <v>1895.2778957976439</v>
      </c>
      <c r="C1338" s="10"/>
    </row>
    <row r="1339" spans="1:3">
      <c r="A1339" s="11" t="s">
        <v>103</v>
      </c>
      <c r="B1339" s="15">
        <f t="shared" si="122"/>
        <v>37.670999999999999</v>
      </c>
      <c r="C1339" s="10"/>
    </row>
    <row r="1340" spans="1:3">
      <c r="A1340" s="11" t="s">
        <v>104</v>
      </c>
      <c r="B1340" s="15">
        <f t="shared" si="122"/>
        <v>0</v>
      </c>
      <c r="C1340" s="10"/>
    </row>
    <row r="1341" spans="1:3">
      <c r="A1341" s="11" t="s">
        <v>112</v>
      </c>
      <c r="B1341" s="15">
        <f t="shared" si="122"/>
        <v>44577.689286771631</v>
      </c>
      <c r="C1341" s="10"/>
    </row>
    <row r="1342" spans="1:3">
      <c r="A1342" s="11" t="s">
        <v>113</v>
      </c>
      <c r="B1342" s="15">
        <f t="shared" si="122"/>
        <v>101365.43817601984</v>
      </c>
      <c r="C1342" s="10"/>
    </row>
    <row r="1344" spans="1:3" ht="21" customHeight="1">
      <c r="A1344" s="1" t="s">
        <v>1843</v>
      </c>
    </row>
    <row r="1345" spans="1:6">
      <c r="A1345" s="2" t="s">
        <v>255</v>
      </c>
    </row>
    <row r="1346" spans="1:6">
      <c r="A1346" s="12" t="s">
        <v>474</v>
      </c>
    </row>
    <row r="1347" spans="1:6">
      <c r="A1347" s="12" t="s">
        <v>475</v>
      </c>
    </row>
    <row r="1348" spans="1:6">
      <c r="A1348" s="12" t="s">
        <v>476</v>
      </c>
    </row>
    <row r="1349" spans="1:6">
      <c r="A1349" s="12" t="s">
        <v>531</v>
      </c>
    </row>
    <row r="1350" spans="1:6">
      <c r="A1350" s="12" t="s">
        <v>1842</v>
      </c>
    </row>
    <row r="1351" spans="1:6">
      <c r="A1351" s="12" t="s">
        <v>518</v>
      </c>
    </row>
    <row r="1352" spans="1:6">
      <c r="A1352" s="21" t="s">
        <v>258</v>
      </c>
      <c r="B1352" s="21" t="s">
        <v>385</v>
      </c>
      <c r="C1352" s="21"/>
      <c r="D1352" s="21"/>
      <c r="E1352" s="21" t="s">
        <v>385</v>
      </c>
    </row>
    <row r="1353" spans="1:6">
      <c r="A1353" s="21" t="s">
        <v>261</v>
      </c>
      <c r="B1353" s="21" t="s">
        <v>519</v>
      </c>
      <c r="C1353" s="21"/>
      <c r="D1353" s="21"/>
      <c r="E1353" s="21" t="s">
        <v>520</v>
      </c>
    </row>
    <row r="1355" spans="1:6">
      <c r="B1355" s="20" t="s">
        <v>1841</v>
      </c>
      <c r="C1355" s="20"/>
      <c r="D1355" s="20"/>
    </row>
    <row r="1356" spans="1:6" ht="30">
      <c r="B1356" s="3" t="s">
        <v>233</v>
      </c>
      <c r="C1356" s="3" t="s">
        <v>234</v>
      </c>
      <c r="D1356" s="3" t="s">
        <v>235</v>
      </c>
      <c r="E1356" s="3" t="s">
        <v>1840</v>
      </c>
    </row>
    <row r="1357" spans="1:6">
      <c r="A1357" s="11" t="s">
        <v>92</v>
      </c>
      <c r="B1357" s="24">
        <f>IF($B$1316&gt;0,($B$1170*B$1240)/$B$1316,0)</f>
        <v>0.11298330820969384</v>
      </c>
      <c r="C1357" s="24">
        <f>IF($B$1316&gt;0,($B$1170*C$1240)/$B$1316,0)</f>
        <v>0.50223801835264836</v>
      </c>
      <c r="D1357" s="24">
        <f>IF($B$1316&gt;0,($B$1170*D$1240)/$B$1316,0)</f>
        <v>0.38477867343765787</v>
      </c>
      <c r="E1357" s="6">
        <f>IF($C$1210&gt;0,$B1357*$F$14*24/$C$1210,0)</f>
        <v>1.5151837852121386</v>
      </c>
      <c r="F1357" s="10"/>
    </row>
    <row r="1358" spans="1:6">
      <c r="A1358" s="11" t="s">
        <v>94</v>
      </c>
      <c r="B1358" s="24">
        <f>IF($B$1319&gt;0,($B$1173*B$1243)/$B$1319,0)</f>
        <v>7.120394655932534E-2</v>
      </c>
      <c r="C1358" s="24">
        <f>IF($B$1319&gt;0,($B$1173*C$1243)/$B$1319,0)</f>
        <v>0.58452126520102887</v>
      </c>
      <c r="D1358" s="24">
        <f>IF($B$1319&gt;0,($B$1173*D$1243)/$B$1319,0)</f>
        <v>0.34427478823964591</v>
      </c>
      <c r="E1358" s="6">
        <f>IF($C$1210&gt;0,$B1358*$F$14*24/$C$1210,0)</f>
        <v>0.95489384210246375</v>
      </c>
      <c r="F1358" s="10"/>
    </row>
    <row r="1360" spans="1:6" ht="21" customHeight="1">
      <c r="A1360" s="1" t="s">
        <v>1839</v>
      </c>
    </row>
    <row r="1361" spans="1:6">
      <c r="A1361" s="2" t="s">
        <v>255</v>
      </c>
    </row>
    <row r="1362" spans="1:6">
      <c r="A1362" s="12" t="s">
        <v>474</v>
      </c>
    </row>
    <row r="1363" spans="1:6">
      <c r="A1363" s="12" t="s">
        <v>475</v>
      </c>
    </row>
    <row r="1364" spans="1:6">
      <c r="A1364" s="12" t="s">
        <v>476</v>
      </c>
    </row>
    <row r="1365" spans="1:6">
      <c r="A1365" s="12" t="s">
        <v>477</v>
      </c>
    </row>
    <row r="1366" spans="1:6">
      <c r="A1366" s="12" t="s">
        <v>478</v>
      </c>
    </row>
    <row r="1367" spans="1:6">
      <c r="A1367" s="12" t="s">
        <v>479</v>
      </c>
    </row>
    <row r="1368" spans="1:6">
      <c r="A1368" s="12" t="s">
        <v>480</v>
      </c>
    </row>
    <row r="1369" spans="1:6">
      <c r="A1369" s="12" t="s">
        <v>481</v>
      </c>
    </row>
    <row r="1370" spans="1:6">
      <c r="A1370" s="21" t="s">
        <v>258</v>
      </c>
      <c r="B1370" s="21" t="s">
        <v>385</v>
      </c>
      <c r="C1370" s="21"/>
      <c r="D1370" s="21"/>
      <c r="E1370" s="21" t="s">
        <v>385</v>
      </c>
    </row>
    <row r="1371" spans="1:6">
      <c r="A1371" s="21" t="s">
        <v>261</v>
      </c>
      <c r="B1371" s="21" t="s">
        <v>482</v>
      </c>
      <c r="C1371" s="21"/>
      <c r="D1371" s="21"/>
      <c r="E1371" s="21" t="s">
        <v>483</v>
      </c>
    </row>
    <row r="1373" spans="1:6">
      <c r="B1373" s="20" t="s">
        <v>484</v>
      </c>
      <c r="C1373" s="20"/>
      <c r="D1373" s="20"/>
    </row>
    <row r="1374" spans="1:6" ht="30">
      <c r="B1374" s="3" t="s">
        <v>233</v>
      </c>
      <c r="C1374" s="3" t="s">
        <v>234</v>
      </c>
      <c r="D1374" s="3" t="s">
        <v>235</v>
      </c>
      <c r="E1374" s="3" t="s">
        <v>1628</v>
      </c>
    </row>
    <row r="1375" spans="1:6">
      <c r="A1375" s="11" t="s">
        <v>93</v>
      </c>
      <c r="B1375" s="24">
        <f>IF($B$1317&gt;0,($B$1171*B$1241+$C$1171*B$1282)/$B$1317,0)</f>
        <v>6.4751882509877914E-2</v>
      </c>
      <c r="C1375" s="24">
        <f>IF($B$1317&gt;0,($B$1171*C$1241+$C$1171*C$1282)/$B$1317,0)</f>
        <v>0.29854717938721892</v>
      </c>
      <c r="D1375" s="24">
        <f>IF($B$1317&gt;0,($B$1171*D$1241+$C$1171*D$1282)/$B$1317,0)</f>
        <v>0.6367009381029034</v>
      </c>
      <c r="E1375" s="6">
        <f>IF($C$1210&gt;0,$B1375*$F$14*24/$C$1210,0)</f>
        <v>0.86836723048361464</v>
      </c>
      <c r="F1375" s="10"/>
    </row>
    <row r="1376" spans="1:6">
      <c r="A1376" s="11" t="s">
        <v>95</v>
      </c>
      <c r="B1376" s="24">
        <f>IF($B$1320&gt;0,($B$1174*B$1244+$C$1174*B$1283)/$B$1320,0)</f>
        <v>6.7549710272472821E-2</v>
      </c>
      <c r="C1376" s="24">
        <f>IF($B$1320&gt;0,($B$1174*C$1244+$C$1174*C$1283)/$B$1320,0)</f>
        <v>0.47053770138699064</v>
      </c>
      <c r="D1376" s="24">
        <f>IF($B$1320&gt;0,($B$1174*D$1244+$C$1174*D$1283)/$B$1320,0)</f>
        <v>0.46191258834053656</v>
      </c>
      <c r="E1376" s="6">
        <f>IF($C$1210&gt;0,$B1376*$F$14*24/$C$1210,0)</f>
        <v>0.90588802295175763</v>
      </c>
      <c r="F1376" s="10"/>
    </row>
    <row r="1377" spans="1:6">
      <c r="A1377" s="11" t="s">
        <v>96</v>
      </c>
      <c r="B1377" s="24">
        <f>IF($B$1322&gt;0,($B$1176*B$1246+$C$1176*B$1284)/$B$1322,0)</f>
        <v>8.0122156877405384E-2</v>
      </c>
      <c r="C1377" s="24">
        <f>IF($B$1322&gt;0,($B$1176*C$1246+$C$1176*C$1284)/$B$1322,0)</f>
        <v>0.52442405635760181</v>
      </c>
      <c r="D1377" s="24">
        <f>IF($B$1322&gt;0,($B$1176*D$1246+$C$1176*D$1284)/$B$1322,0)</f>
        <v>0.39545378676499277</v>
      </c>
      <c r="E1377" s="6">
        <f>IF($C$1210&gt;0,$B1377*$F$14*24/$C$1210,0)</f>
        <v>1.0744931694826394</v>
      </c>
      <c r="F1377" s="10"/>
    </row>
    <row r="1378" spans="1:6">
      <c r="A1378" s="11" t="s">
        <v>97</v>
      </c>
      <c r="B1378" s="24">
        <f>IF($B$1323&gt;0,($B$1177*B$1247+$C$1177*B$1285)/$B$1323,0)</f>
        <v>7.8411837116010741E-2</v>
      </c>
      <c r="C1378" s="24">
        <f>IF($B$1323&gt;0,($B$1177*C$1247+$C$1177*C$1285)/$B$1323,0)</f>
        <v>0.52761625545369095</v>
      </c>
      <c r="D1378" s="24">
        <f>IF($B$1323&gt;0,($B$1177*D$1247+$C$1177*D$1285)/$B$1323,0)</f>
        <v>0.39397190743029836</v>
      </c>
      <c r="E1378" s="6">
        <f>IF($C$1210&gt;0,$B1378*$F$14*24/$C$1210,0)</f>
        <v>1.0515566064534936</v>
      </c>
      <c r="F1378" s="10"/>
    </row>
    <row r="1379" spans="1:6">
      <c r="A1379" s="11" t="s">
        <v>110</v>
      </c>
      <c r="B1379" s="24">
        <f>IF($B$1324&gt;0,($B$1178*B$1248+$C$1178*B$1286)/$B$1324,0)</f>
        <v>8.1521128187900707E-2</v>
      </c>
      <c r="C1379" s="24">
        <f>IF($B$1324&gt;0,($B$1178*C$1248+$C$1178*C$1286)/$B$1324,0)</f>
        <v>0.57273575664044429</v>
      </c>
      <c r="D1379" s="24">
        <f>IF($B$1324&gt;0,($B$1178*D$1248+$C$1178*D$1286)/$B$1324,0)</f>
        <v>0.34574311517165507</v>
      </c>
      <c r="E1379" s="6">
        <f>IF($C$1210&gt;0,$B1379*$F$14*24/$C$1210,0)</f>
        <v>1.0932543358817095</v>
      </c>
      <c r="F1379" s="10"/>
    </row>
    <row r="1381" spans="1:6" ht="21" customHeight="1">
      <c r="A1381" s="1" t="s">
        <v>1838</v>
      </c>
    </row>
    <row r="1382" spans="1:6">
      <c r="A1382" s="2" t="s">
        <v>255</v>
      </c>
    </row>
    <row r="1383" spans="1:6">
      <c r="A1383" s="12" t="s">
        <v>474</v>
      </c>
    </row>
    <row r="1384" spans="1:6">
      <c r="A1384" s="12" t="s">
        <v>475</v>
      </c>
    </row>
    <row r="1385" spans="1:6">
      <c r="A1385" s="12" t="s">
        <v>476</v>
      </c>
    </row>
    <row r="1386" spans="1:6">
      <c r="A1386" s="12" t="s">
        <v>477</v>
      </c>
    </row>
    <row r="1387" spans="1:6">
      <c r="A1387" s="12" t="s">
        <v>478</v>
      </c>
    </row>
    <row r="1388" spans="1:6">
      <c r="A1388" s="12" t="s">
        <v>485</v>
      </c>
    </row>
    <row r="1389" spans="1:6">
      <c r="A1389" s="12" t="s">
        <v>486</v>
      </c>
    </row>
    <row r="1390" spans="1:6">
      <c r="A1390" s="12" t="s">
        <v>487</v>
      </c>
    </row>
    <row r="1391" spans="1:6">
      <c r="A1391" s="12" t="s">
        <v>488</v>
      </c>
    </row>
    <row r="1392" spans="1:6">
      <c r="A1392" s="12" t="s">
        <v>489</v>
      </c>
    </row>
    <row r="1393" spans="1:6">
      <c r="A1393" s="21" t="s">
        <v>258</v>
      </c>
      <c r="B1393" s="21" t="s">
        <v>385</v>
      </c>
      <c r="C1393" s="21"/>
      <c r="D1393" s="21"/>
      <c r="E1393" s="21" t="s">
        <v>385</v>
      </c>
    </row>
    <row r="1394" spans="1:6">
      <c r="A1394" s="21" t="s">
        <v>261</v>
      </c>
      <c r="B1394" s="21" t="s">
        <v>490</v>
      </c>
      <c r="C1394" s="21"/>
      <c r="D1394" s="21"/>
      <c r="E1394" s="21" t="s">
        <v>491</v>
      </c>
    </row>
    <row r="1396" spans="1:6">
      <c r="B1396" s="20" t="s">
        <v>492</v>
      </c>
      <c r="C1396" s="20"/>
      <c r="D1396" s="20"/>
    </row>
    <row r="1397" spans="1:6" ht="30">
      <c r="B1397" s="3" t="s">
        <v>233</v>
      </c>
      <c r="C1397" s="3" t="s">
        <v>234</v>
      </c>
      <c r="D1397" s="3" t="s">
        <v>235</v>
      </c>
      <c r="E1397" s="3" t="s">
        <v>1627</v>
      </c>
    </row>
    <row r="1398" spans="1:6">
      <c r="A1398" s="11" t="s">
        <v>1647</v>
      </c>
      <c r="B1398" s="24">
        <f>IF($B$1325&gt;0,($B$1179*B$1249+$C$1179*B$1287+$D$1179*B$1299)/$B$1325,0)</f>
        <v>0</v>
      </c>
      <c r="C1398" s="24">
        <f>IF($B$1325&gt;0,($B$1179*C$1249+$C$1179*C$1287+$D$1179*C$1299)/$B$1325,0)</f>
        <v>0</v>
      </c>
      <c r="D1398" s="24">
        <f>IF($B$1325&gt;0,($B$1179*D$1249+$C$1179*D$1287+$D$1179*D$1299)/$B$1325,0)</f>
        <v>0</v>
      </c>
      <c r="E1398" s="6">
        <f>IF($C$1210&gt;0,$B1398*$F$14*24/$C$1210,0)</f>
        <v>0</v>
      </c>
      <c r="F1398" s="10"/>
    </row>
    <row r="1399" spans="1:6">
      <c r="A1399" s="11" t="s">
        <v>1646</v>
      </c>
      <c r="B1399" s="24">
        <f>IF($B$1326&gt;0,($B$1180*B$1250+$C$1180*B$1288+$D$1180*B$1300)/$B$1326,0)</f>
        <v>0</v>
      </c>
      <c r="C1399" s="24">
        <f>IF($B$1326&gt;0,($B$1180*C$1250+$C$1180*C$1288+$D$1180*C$1300)/$B$1326,0)</f>
        <v>0</v>
      </c>
      <c r="D1399" s="24">
        <f>IF($B$1326&gt;0,($B$1180*D$1250+$C$1180*D$1288+$D$1180*D$1300)/$B$1326,0)</f>
        <v>0</v>
      </c>
      <c r="E1399" s="6">
        <f>IF($C$1210&gt;0,$B1399*$F$14*24/$C$1210,0)</f>
        <v>0</v>
      </c>
      <c r="F1399" s="10"/>
    </row>
    <row r="1400" spans="1:6">
      <c r="A1400" s="11" t="s">
        <v>98</v>
      </c>
      <c r="B1400" s="24">
        <f>IF($B$1327&gt;0,($B$1181*B$1251+$C$1181*B$1289+$D$1181*B$1301)/$B$1327,0)</f>
        <v>8.3257718838784828E-2</v>
      </c>
      <c r="C1400" s="24">
        <f>IF($B$1327&gt;0,($B$1181*C$1251+$C$1181*C$1289+$D$1181*C$1301)/$B$1327,0)</f>
        <v>0.52699812232179566</v>
      </c>
      <c r="D1400" s="24">
        <f>IF($B$1327&gt;0,($B$1181*D$1251+$C$1181*D$1289+$D$1181*D$1301)/$B$1327,0)</f>
        <v>0.38974415883941954</v>
      </c>
      <c r="E1400" s="6">
        <f>IF($C$1210&gt;0,$B1400*$F$14*24/$C$1210,0)</f>
        <v>1.116543209587612</v>
      </c>
      <c r="F1400" s="10"/>
    </row>
    <row r="1401" spans="1:6">
      <c r="A1401" s="11" t="s">
        <v>99</v>
      </c>
      <c r="B1401" s="24">
        <f>IF($B$1328&gt;0,($B$1182*B$1252+$C$1182*B$1290+$D$1182*B$1302)/$B$1328,0)</f>
        <v>9.2139048672262705E-2</v>
      </c>
      <c r="C1401" s="24">
        <f>IF($B$1328&gt;0,($B$1182*C$1252+$C$1182*C$1290+$D$1182*C$1302)/$B$1328,0)</f>
        <v>0.52034675050496759</v>
      </c>
      <c r="D1401" s="24">
        <f>IF($B$1328&gt;0,($B$1182*D$1252+$C$1182*D$1290+$D$1182*D$1302)/$B$1328,0)</f>
        <v>0.38751420082276977</v>
      </c>
      <c r="E1401" s="6">
        <f>IF($C$1210&gt;0,$B1401*$F$14*24/$C$1210,0)</f>
        <v>1.2356479443315351</v>
      </c>
      <c r="F1401" s="10"/>
    </row>
    <row r="1402" spans="1:6">
      <c r="A1402" s="11" t="s">
        <v>111</v>
      </c>
      <c r="B1402" s="24">
        <f>IF($B$1329&gt;0,($B$1183*B$1253+$C$1183*B$1291+$D$1183*B$1303)/$B$1329,0)</f>
        <v>7.8760406298802044E-2</v>
      </c>
      <c r="C1402" s="24">
        <f>IF($B$1329&gt;0,($B$1183*C$1253+$C$1183*C$1291+$D$1183*C$1303)/$B$1329,0)</f>
        <v>0.47540948248965376</v>
      </c>
      <c r="D1402" s="24">
        <f>IF($B$1329&gt;0,($B$1183*D$1253+$C$1183*D$1291+$D$1183*D$1303)/$B$1329,0)</f>
        <v>0.44583011121154414</v>
      </c>
      <c r="E1402" s="6">
        <f>IF($C$1210&gt;0,$B1402*$F$14*24/$C$1210,0)</f>
        <v>1.0562311586697359</v>
      </c>
      <c r="F1402" s="10"/>
    </row>
    <row r="1404" spans="1:6" ht="21" customHeight="1">
      <c r="A1404" s="1" t="s">
        <v>1837</v>
      </c>
    </row>
    <row r="1405" spans="1:6">
      <c r="A1405" s="2" t="s">
        <v>255</v>
      </c>
    </row>
    <row r="1406" spans="1:6">
      <c r="A1406" s="12" t="s">
        <v>1836</v>
      </c>
    </row>
    <row r="1407" spans="1:6">
      <c r="A1407" s="12" t="s">
        <v>1835</v>
      </c>
    </row>
    <row r="1408" spans="1:6">
      <c r="A1408" s="12" t="s">
        <v>1834</v>
      </c>
    </row>
    <row r="1409" spans="1:4">
      <c r="A1409" s="12" t="s">
        <v>1833</v>
      </c>
    </row>
    <row r="1410" spans="1:4">
      <c r="A1410" s="12" t="s">
        <v>1832</v>
      </c>
    </row>
    <row r="1411" spans="1:4">
      <c r="A1411" s="21" t="s">
        <v>258</v>
      </c>
      <c r="B1411" s="21" t="s">
        <v>419</v>
      </c>
      <c r="C1411" s="21" t="s">
        <v>385</v>
      </c>
    </row>
    <row r="1412" spans="1:4">
      <c r="A1412" s="21" t="s">
        <v>261</v>
      </c>
      <c r="B1412" s="21" t="s">
        <v>1831</v>
      </c>
      <c r="C1412" s="21" t="s">
        <v>1830</v>
      </c>
    </row>
    <row r="1414" spans="1:4" ht="45">
      <c r="B1414" s="3" t="s">
        <v>1626</v>
      </c>
      <c r="C1414" s="3" t="s">
        <v>494</v>
      </c>
    </row>
    <row r="1415" spans="1:4">
      <c r="A1415" s="11" t="s">
        <v>92</v>
      </c>
      <c r="B1415" s="7">
        <f>E$1357</f>
        <v>1.5151837852121386</v>
      </c>
      <c r="C1415" s="6">
        <f>IF($B1415&lt;&gt;0,B$914/$B1415,IF(B$914&lt;0,-1,1))</f>
        <v>1.2862608525935786</v>
      </c>
      <c r="D1415" s="10"/>
    </row>
    <row r="1416" spans="1:4">
      <c r="A1416" s="11" t="s">
        <v>93</v>
      </c>
      <c r="B1416" s="7">
        <f>E$1375</f>
        <v>0.86836723048361464</v>
      </c>
      <c r="C1416" s="6">
        <f>IF($B1416&lt;&gt;0,B$915/$B1416,IF(B$915&lt;0,-1,1))</f>
        <v>1.3296387468859681</v>
      </c>
      <c r="D1416" s="10"/>
    </row>
    <row r="1417" spans="1:4">
      <c r="A1417" s="11" t="s">
        <v>129</v>
      </c>
      <c r="B1417" s="9"/>
      <c r="C1417" s="6">
        <f>IF($B1417&lt;&gt;0,B$916/$B1417,IF(B$916&lt;0,-1,1))</f>
        <v>1</v>
      </c>
      <c r="D1417" s="10"/>
    </row>
    <row r="1418" spans="1:4">
      <c r="A1418" s="11" t="s">
        <v>94</v>
      </c>
      <c r="B1418" s="7">
        <f>E$1358</f>
        <v>0.95489384210246375</v>
      </c>
      <c r="C1418" s="6">
        <f>IF($B1418&lt;&gt;0,B$917/$B1418,IF(B$917&lt;0,-1,1))</f>
        <v>1.6052238993104277</v>
      </c>
      <c r="D1418" s="10"/>
    </row>
    <row r="1419" spans="1:4">
      <c r="A1419" s="11" t="s">
        <v>95</v>
      </c>
      <c r="B1419" s="7">
        <f>E$1376</f>
        <v>0.90588802295175763</v>
      </c>
      <c r="C1419" s="6">
        <f>IF($B1419&lt;&gt;0,B$918/$B1419,IF(B$918&lt;0,-1,1))</f>
        <v>1.4542993385597733</v>
      </c>
      <c r="D1419" s="10"/>
    </row>
    <row r="1420" spans="1:4">
      <c r="A1420" s="11" t="s">
        <v>130</v>
      </c>
      <c r="B1420" s="9"/>
      <c r="C1420" s="6">
        <f>IF($B1420&lt;&gt;0,B$919/$B1420,IF(B$919&lt;0,-1,1))</f>
        <v>1</v>
      </c>
      <c r="D1420" s="10"/>
    </row>
    <row r="1421" spans="1:4">
      <c r="A1421" s="11" t="s">
        <v>96</v>
      </c>
      <c r="B1421" s="7">
        <f>E$1377</f>
        <v>1.0744931694826394</v>
      </c>
      <c r="C1421" s="6">
        <f>IF($B1421&lt;&gt;0,B$920/$B1421,IF(B$920&lt;0,-1,1))</f>
        <v>1.3254335235049264</v>
      </c>
      <c r="D1421" s="10"/>
    </row>
    <row r="1422" spans="1:4">
      <c r="A1422" s="11" t="s">
        <v>97</v>
      </c>
      <c r="B1422" s="7">
        <f>E$1378</f>
        <v>1.0515566064534936</v>
      </c>
      <c r="C1422" s="6">
        <f>IF($B1422&lt;&gt;0,B$921/$B1422,IF(B$921&lt;0,-1,1))</f>
        <v>1.3543438925390237</v>
      </c>
      <c r="D1422" s="10"/>
    </row>
    <row r="1423" spans="1:4">
      <c r="A1423" s="11" t="s">
        <v>110</v>
      </c>
      <c r="B1423" s="7">
        <f>E$1379</f>
        <v>1.0932543358817095</v>
      </c>
      <c r="C1423" s="6">
        <f>IF($B1423&lt;&gt;0,B$922/$B1423,IF(B$922&lt;0,-1,1))</f>
        <v>1.2623523544773081</v>
      </c>
      <c r="D1423" s="10"/>
    </row>
    <row r="1424" spans="1:4">
      <c r="A1424" s="11" t="s">
        <v>1647</v>
      </c>
      <c r="B1424" s="7">
        <f>E$1398</f>
        <v>0</v>
      </c>
      <c r="C1424" s="6">
        <f>IF($B1424&lt;&gt;0,B$923/$B1424,IF(B$923&lt;0,-1,1))</f>
        <v>1</v>
      </c>
      <c r="D1424" s="10"/>
    </row>
    <row r="1425" spans="1:5">
      <c r="A1425" s="11" t="s">
        <v>1646</v>
      </c>
      <c r="B1425" s="7">
        <f>E$1399</f>
        <v>0</v>
      </c>
      <c r="C1425" s="6">
        <f>IF($B1425&lt;&gt;0,B$924/$B1425,IF(B$924&lt;0,-1,1))</f>
        <v>1</v>
      </c>
      <c r="D1425" s="10"/>
    </row>
    <row r="1426" spans="1:5">
      <c r="A1426" s="11" t="s">
        <v>98</v>
      </c>
      <c r="B1426" s="7">
        <f>E$1400</f>
        <v>1.116543209587612</v>
      </c>
      <c r="C1426" s="6">
        <f>IF($B1426&lt;&gt;0,B$925/$B1426,IF(B$925&lt;0,-1,1))</f>
        <v>1.1658056064036326</v>
      </c>
      <c r="D1426" s="10"/>
    </row>
    <row r="1427" spans="1:5">
      <c r="A1427" s="11" t="s">
        <v>99</v>
      </c>
      <c r="B1427" s="7">
        <f>E$1401</f>
        <v>1.2356479443315351</v>
      </c>
      <c r="C1427" s="6">
        <f>IF($B1427&lt;&gt;0,B$926/$B1427,IF(B$926&lt;0,-1,1))</f>
        <v>1.0534330101874829</v>
      </c>
      <c r="D1427" s="10"/>
    </row>
    <row r="1428" spans="1:5">
      <c r="A1428" s="11" t="s">
        <v>111</v>
      </c>
      <c r="B1428" s="7">
        <f>E$1402</f>
        <v>1.0562311586697359</v>
      </c>
      <c r="C1428" s="6">
        <f>IF($B1428&lt;&gt;0,B$927/$B1428,IF(B$927&lt;0,-1,1))</f>
        <v>1.0922268308024359</v>
      </c>
      <c r="D1428" s="10"/>
    </row>
    <row r="1429" spans="1:5">
      <c r="A1429" s="11" t="s">
        <v>102</v>
      </c>
      <c r="B1429" s="9"/>
      <c r="C1429" s="6">
        <f>IF($B1429&lt;&gt;0,B$936/$B1429,IF(B$936&lt;0,-1,1))</f>
        <v>-1</v>
      </c>
      <c r="D1429" s="10"/>
    </row>
    <row r="1430" spans="1:5">
      <c r="A1430" s="11" t="s">
        <v>104</v>
      </c>
      <c r="B1430" s="9"/>
      <c r="C1430" s="6">
        <f>IF($B1430&lt;&gt;0,B$938/$B1430,IF(B$938&lt;0,-1,1))</f>
        <v>-1</v>
      </c>
      <c r="D1430" s="10"/>
    </row>
    <row r="1431" spans="1:5">
      <c r="A1431" s="11" t="s">
        <v>113</v>
      </c>
      <c r="B1431" s="9"/>
      <c r="C1431" s="6">
        <f>IF($B1431&lt;&gt;0,B$940/$B1431,IF(B$940&lt;0,-1,1))</f>
        <v>-1</v>
      </c>
      <c r="D1431" s="10"/>
    </row>
    <row r="1433" spans="1:5" ht="21" customHeight="1">
      <c r="A1433" s="1" t="s">
        <v>1829</v>
      </c>
    </row>
    <row r="1434" spans="1:5">
      <c r="A1434" s="2" t="s">
        <v>255</v>
      </c>
    </row>
    <row r="1435" spans="1:5">
      <c r="A1435" s="12" t="s">
        <v>495</v>
      </c>
    </row>
    <row r="1436" spans="1:5">
      <c r="A1436" s="12" t="s">
        <v>496</v>
      </c>
    </row>
    <row r="1437" spans="1:5">
      <c r="A1437" s="12" t="s">
        <v>497</v>
      </c>
    </row>
    <row r="1438" spans="1:5">
      <c r="A1438" s="12" t="s">
        <v>498</v>
      </c>
    </row>
    <row r="1439" spans="1:5">
      <c r="A1439" s="21" t="s">
        <v>258</v>
      </c>
      <c r="B1439" s="21" t="s">
        <v>386</v>
      </c>
      <c r="C1439" s="21" t="s">
        <v>385</v>
      </c>
      <c r="D1439" s="21"/>
      <c r="E1439" s="21"/>
    </row>
    <row r="1440" spans="1:5">
      <c r="A1440" s="21" t="s">
        <v>261</v>
      </c>
      <c r="B1440" s="21" t="s">
        <v>436</v>
      </c>
      <c r="C1440" s="21" t="s">
        <v>499</v>
      </c>
      <c r="D1440" s="21"/>
      <c r="E1440" s="21"/>
    </row>
    <row r="1442" spans="1:6">
      <c r="C1442" s="20" t="s">
        <v>501</v>
      </c>
      <c r="D1442" s="20"/>
      <c r="E1442" s="20"/>
    </row>
    <row r="1443" spans="1:6" ht="30">
      <c r="B1443" s="3" t="s">
        <v>500</v>
      </c>
      <c r="C1443" s="3" t="s">
        <v>233</v>
      </c>
      <c r="D1443" s="3" t="s">
        <v>234</v>
      </c>
      <c r="E1443" s="3" t="s">
        <v>235</v>
      </c>
    </row>
    <row r="1444" spans="1:6">
      <c r="A1444" s="11" t="s">
        <v>60</v>
      </c>
      <c r="B1444" s="24">
        <f t="shared" ref="B1444:B1452" si="123">SUM($B311:$D311)</f>
        <v>1</v>
      </c>
      <c r="C1444" s="24">
        <f t="shared" ref="C1444:E1452" si="124">IF($B1444,B311/$B1444,B$304/$B$1210)</f>
        <v>0.62879119434947672</v>
      </c>
      <c r="D1444" s="24">
        <f t="shared" si="124"/>
        <v>0.36482447333707807</v>
      </c>
      <c r="E1444" s="24">
        <f t="shared" si="124"/>
        <v>6.3843323134452623E-3</v>
      </c>
      <c r="F1444" s="10"/>
    </row>
    <row r="1445" spans="1:6">
      <c r="A1445" s="11" t="s">
        <v>61</v>
      </c>
      <c r="B1445" s="24">
        <f t="shared" si="123"/>
        <v>1</v>
      </c>
      <c r="C1445" s="24">
        <f t="shared" si="124"/>
        <v>0.62174924523091402</v>
      </c>
      <c r="D1445" s="24">
        <f t="shared" si="124"/>
        <v>0.3027754828809584</v>
      </c>
      <c r="E1445" s="24">
        <f t="shared" si="124"/>
        <v>7.547527188812754E-2</v>
      </c>
      <c r="F1445" s="10"/>
    </row>
    <row r="1446" spans="1:6">
      <c r="A1446" s="11" t="s">
        <v>62</v>
      </c>
      <c r="B1446" s="24">
        <f t="shared" si="123"/>
        <v>1</v>
      </c>
      <c r="C1446" s="24">
        <f t="shared" si="124"/>
        <v>0.62174924523091402</v>
      </c>
      <c r="D1446" s="24">
        <f t="shared" si="124"/>
        <v>0.3027754828809584</v>
      </c>
      <c r="E1446" s="24">
        <f t="shared" si="124"/>
        <v>7.547527188812754E-2</v>
      </c>
      <c r="F1446" s="10"/>
    </row>
    <row r="1447" spans="1:6">
      <c r="A1447" s="11" t="s">
        <v>63</v>
      </c>
      <c r="B1447" s="24">
        <f t="shared" si="123"/>
        <v>1</v>
      </c>
      <c r="C1447" s="24">
        <f t="shared" si="124"/>
        <v>0.57235676252107026</v>
      </c>
      <c r="D1447" s="24">
        <f t="shared" si="124"/>
        <v>0.37197918727209278</v>
      </c>
      <c r="E1447" s="24">
        <f t="shared" si="124"/>
        <v>5.5664050206836936E-2</v>
      </c>
      <c r="F1447" s="10"/>
    </row>
    <row r="1448" spans="1:6">
      <c r="A1448" s="11" t="s">
        <v>64</v>
      </c>
      <c r="B1448" s="24">
        <f t="shared" si="123"/>
        <v>1</v>
      </c>
      <c r="C1448" s="24">
        <f t="shared" si="124"/>
        <v>0.57235676252107026</v>
      </c>
      <c r="D1448" s="24">
        <f t="shared" si="124"/>
        <v>0.37197918727209278</v>
      </c>
      <c r="E1448" s="24">
        <f t="shared" si="124"/>
        <v>5.5664050206836936E-2</v>
      </c>
      <c r="F1448" s="10"/>
    </row>
    <row r="1449" spans="1:6">
      <c r="A1449" s="11" t="s">
        <v>69</v>
      </c>
      <c r="B1449" s="24">
        <f t="shared" si="123"/>
        <v>1</v>
      </c>
      <c r="C1449" s="24">
        <f t="shared" si="124"/>
        <v>0.62174924523091402</v>
      </c>
      <c r="D1449" s="24">
        <f t="shared" si="124"/>
        <v>0.3027754828809584</v>
      </c>
      <c r="E1449" s="24">
        <f t="shared" si="124"/>
        <v>7.547527188812754E-2</v>
      </c>
      <c r="F1449" s="10"/>
    </row>
    <row r="1450" spans="1:6">
      <c r="A1450" s="11" t="s">
        <v>65</v>
      </c>
      <c r="B1450" s="24">
        <f t="shared" si="123"/>
        <v>1</v>
      </c>
      <c r="C1450" s="24">
        <f t="shared" si="124"/>
        <v>0.57235676252107026</v>
      </c>
      <c r="D1450" s="24">
        <f t="shared" si="124"/>
        <v>0.37197918727209278</v>
      </c>
      <c r="E1450" s="24">
        <f t="shared" si="124"/>
        <v>5.5664050206836936E-2</v>
      </c>
      <c r="F1450" s="10"/>
    </row>
    <row r="1451" spans="1:6">
      <c r="A1451" s="11" t="s">
        <v>66</v>
      </c>
      <c r="B1451" s="24">
        <f t="shared" si="123"/>
        <v>1</v>
      </c>
      <c r="C1451" s="24">
        <f t="shared" si="124"/>
        <v>0.57235676252107026</v>
      </c>
      <c r="D1451" s="24">
        <f t="shared" si="124"/>
        <v>0.37197918727209278</v>
      </c>
      <c r="E1451" s="24">
        <f t="shared" si="124"/>
        <v>5.5664050206836936E-2</v>
      </c>
      <c r="F1451" s="10"/>
    </row>
    <row r="1452" spans="1:6">
      <c r="A1452" s="11" t="s">
        <v>67</v>
      </c>
      <c r="B1452" s="24">
        <f t="shared" si="123"/>
        <v>1</v>
      </c>
      <c r="C1452" s="24">
        <f t="shared" si="124"/>
        <v>0.57235676252107026</v>
      </c>
      <c r="D1452" s="24">
        <f t="shared" si="124"/>
        <v>0.37197918727209278</v>
      </c>
      <c r="E1452" s="24">
        <f t="shared" si="124"/>
        <v>5.5664050206836936E-2</v>
      </c>
      <c r="F1452" s="10"/>
    </row>
    <row r="1454" spans="1:6" ht="21" customHeight="1">
      <c r="A1454" s="1" t="s">
        <v>1828</v>
      </c>
    </row>
    <row r="1455" spans="1:6">
      <c r="A1455" s="2" t="s">
        <v>255</v>
      </c>
    </row>
    <row r="1456" spans="1:6">
      <c r="A1456" s="12" t="s">
        <v>1731</v>
      </c>
    </row>
    <row r="1457" spans="1:38">
      <c r="A1457" s="2" t="s">
        <v>502</v>
      </c>
    </row>
    <row r="1459" spans="1:38">
      <c r="B1459" s="17" t="s">
        <v>60</v>
      </c>
      <c r="C1459" s="3" t="s">
        <v>233</v>
      </c>
      <c r="D1459" s="3" t="s">
        <v>234</v>
      </c>
      <c r="E1459" s="3" t="s">
        <v>235</v>
      </c>
      <c r="F1459" s="17" t="s">
        <v>61</v>
      </c>
      <c r="G1459" s="3" t="s">
        <v>233</v>
      </c>
      <c r="H1459" s="3" t="s">
        <v>234</v>
      </c>
      <c r="I1459" s="3" t="s">
        <v>235</v>
      </c>
      <c r="J1459" s="17" t="s">
        <v>62</v>
      </c>
      <c r="K1459" s="3" t="s">
        <v>233</v>
      </c>
      <c r="L1459" s="3" t="s">
        <v>234</v>
      </c>
      <c r="M1459" s="3" t="s">
        <v>235</v>
      </c>
      <c r="N1459" s="17" t="s">
        <v>63</v>
      </c>
      <c r="O1459" s="3" t="s">
        <v>233</v>
      </c>
      <c r="P1459" s="3" t="s">
        <v>234</v>
      </c>
      <c r="Q1459" s="3" t="s">
        <v>235</v>
      </c>
      <c r="R1459" s="17" t="s">
        <v>64</v>
      </c>
      <c r="S1459" s="3" t="s">
        <v>233</v>
      </c>
      <c r="T1459" s="3" t="s">
        <v>234</v>
      </c>
      <c r="U1459" s="3" t="s">
        <v>235</v>
      </c>
      <c r="V1459" s="17" t="s">
        <v>69</v>
      </c>
      <c r="W1459" s="3" t="s">
        <v>233</v>
      </c>
      <c r="X1459" s="3" t="s">
        <v>234</v>
      </c>
      <c r="Y1459" s="3" t="s">
        <v>235</v>
      </c>
      <c r="Z1459" s="17" t="s">
        <v>65</v>
      </c>
      <c r="AA1459" s="3" t="s">
        <v>233</v>
      </c>
      <c r="AB1459" s="3" t="s">
        <v>234</v>
      </c>
      <c r="AC1459" s="3" t="s">
        <v>235</v>
      </c>
      <c r="AD1459" s="17" t="s">
        <v>66</v>
      </c>
      <c r="AE1459" s="3" t="s">
        <v>233</v>
      </c>
      <c r="AF1459" s="3" t="s">
        <v>234</v>
      </c>
      <c r="AG1459" s="3" t="s">
        <v>235</v>
      </c>
      <c r="AH1459" s="17" t="s">
        <v>67</v>
      </c>
      <c r="AI1459" s="3" t="s">
        <v>233</v>
      </c>
      <c r="AJ1459" s="3" t="s">
        <v>234</v>
      </c>
      <c r="AK1459" s="3" t="s">
        <v>235</v>
      </c>
    </row>
    <row r="1460" spans="1:38">
      <c r="A1460" s="11" t="s">
        <v>503</v>
      </c>
      <c r="C1460" s="26">
        <f>C$1444</f>
        <v>0.62879119434947672</v>
      </c>
      <c r="D1460" s="26">
        <f>D$1444</f>
        <v>0.36482447333707807</v>
      </c>
      <c r="E1460" s="26">
        <f>E$1444</f>
        <v>6.3843323134452623E-3</v>
      </c>
      <c r="G1460" s="26">
        <f>C$1445</f>
        <v>0.62174924523091402</v>
      </c>
      <c r="H1460" s="26">
        <f>D$1445</f>
        <v>0.3027754828809584</v>
      </c>
      <c r="I1460" s="26">
        <f>E$1445</f>
        <v>7.547527188812754E-2</v>
      </c>
      <c r="K1460" s="26">
        <f>C$1446</f>
        <v>0.62174924523091402</v>
      </c>
      <c r="L1460" s="26">
        <f>D$1446</f>
        <v>0.3027754828809584</v>
      </c>
      <c r="M1460" s="26">
        <f>E$1446</f>
        <v>7.547527188812754E-2</v>
      </c>
      <c r="O1460" s="26">
        <f>C$1447</f>
        <v>0.57235676252107026</v>
      </c>
      <c r="P1460" s="26">
        <f>D$1447</f>
        <v>0.37197918727209278</v>
      </c>
      <c r="Q1460" s="26">
        <f>E$1447</f>
        <v>5.5664050206836936E-2</v>
      </c>
      <c r="S1460" s="26">
        <f>C$1448</f>
        <v>0.57235676252107026</v>
      </c>
      <c r="T1460" s="26">
        <f>D$1448</f>
        <v>0.37197918727209278</v>
      </c>
      <c r="U1460" s="26">
        <f>E$1448</f>
        <v>5.5664050206836936E-2</v>
      </c>
      <c r="W1460" s="26">
        <f>C$1449</f>
        <v>0.62174924523091402</v>
      </c>
      <c r="X1460" s="26">
        <f>D$1449</f>
        <v>0.3027754828809584</v>
      </c>
      <c r="Y1460" s="26">
        <f>E$1449</f>
        <v>7.547527188812754E-2</v>
      </c>
      <c r="AA1460" s="26">
        <f>C$1450</f>
        <v>0.57235676252107026</v>
      </c>
      <c r="AB1460" s="26">
        <f>D$1450</f>
        <v>0.37197918727209278</v>
      </c>
      <c r="AC1460" s="26">
        <f>E$1450</f>
        <v>5.5664050206836936E-2</v>
      </c>
      <c r="AE1460" s="26">
        <f>C$1451</f>
        <v>0.57235676252107026</v>
      </c>
      <c r="AF1460" s="26">
        <f>D$1451</f>
        <v>0.37197918727209278</v>
      </c>
      <c r="AG1460" s="26">
        <f>E$1451</f>
        <v>5.5664050206836936E-2</v>
      </c>
      <c r="AI1460" s="26">
        <f>C$1452</f>
        <v>0.57235676252107026</v>
      </c>
      <c r="AJ1460" s="26">
        <f>D$1452</f>
        <v>0.37197918727209278</v>
      </c>
      <c r="AK1460" s="26">
        <f>E$1452</f>
        <v>5.5664050206836936E-2</v>
      </c>
      <c r="AL1460" s="10"/>
    </row>
    <row r="1462" spans="1:38" ht="21" customHeight="1">
      <c r="A1462" s="1" t="s">
        <v>1827</v>
      </c>
    </row>
    <row r="1463" spans="1:38">
      <c r="A1463" s="2" t="s">
        <v>255</v>
      </c>
    </row>
    <row r="1464" spans="1:38">
      <c r="A1464" s="12" t="s">
        <v>504</v>
      </c>
    </row>
    <row r="1465" spans="1:38">
      <c r="A1465" s="12" t="s">
        <v>1826</v>
      </c>
    </row>
    <row r="1466" spans="1:38">
      <c r="A1466" s="12" t="s">
        <v>1825</v>
      </c>
    </row>
    <row r="1467" spans="1:38">
      <c r="A1467" s="12" t="s">
        <v>453</v>
      </c>
    </row>
    <row r="1468" spans="1:38">
      <c r="A1468" s="2" t="s">
        <v>505</v>
      </c>
    </row>
    <row r="1470" spans="1:38">
      <c r="B1470" s="17" t="s">
        <v>60</v>
      </c>
      <c r="C1470" s="3" t="s">
        <v>233</v>
      </c>
      <c r="D1470" s="3" t="s">
        <v>234</v>
      </c>
      <c r="E1470" s="3" t="s">
        <v>235</v>
      </c>
      <c r="F1470" s="17" t="s">
        <v>61</v>
      </c>
      <c r="G1470" s="3" t="s">
        <v>233</v>
      </c>
      <c r="H1470" s="3" t="s">
        <v>234</v>
      </c>
      <c r="I1470" s="3" t="s">
        <v>235</v>
      </c>
      <c r="J1470" s="17" t="s">
        <v>62</v>
      </c>
      <c r="K1470" s="3" t="s">
        <v>233</v>
      </c>
      <c r="L1470" s="3" t="s">
        <v>234</v>
      </c>
      <c r="M1470" s="3" t="s">
        <v>235</v>
      </c>
      <c r="N1470" s="17" t="s">
        <v>63</v>
      </c>
      <c r="O1470" s="3" t="s">
        <v>233</v>
      </c>
      <c r="P1470" s="3" t="s">
        <v>234</v>
      </c>
      <c r="Q1470" s="3" t="s">
        <v>235</v>
      </c>
      <c r="R1470" s="17" t="s">
        <v>64</v>
      </c>
      <c r="S1470" s="3" t="s">
        <v>233</v>
      </c>
      <c r="T1470" s="3" t="s">
        <v>234</v>
      </c>
      <c r="U1470" s="3" t="s">
        <v>235</v>
      </c>
      <c r="V1470" s="17" t="s">
        <v>69</v>
      </c>
      <c r="W1470" s="3" t="s">
        <v>233</v>
      </c>
      <c r="X1470" s="3" t="s">
        <v>234</v>
      </c>
      <c r="Y1470" s="3" t="s">
        <v>235</v>
      </c>
      <c r="Z1470" s="17" t="s">
        <v>65</v>
      </c>
      <c r="AA1470" s="3" t="s">
        <v>233</v>
      </c>
      <c r="AB1470" s="3" t="s">
        <v>234</v>
      </c>
      <c r="AC1470" s="3" t="s">
        <v>235</v>
      </c>
      <c r="AD1470" s="17" t="s">
        <v>66</v>
      </c>
      <c r="AE1470" s="3" t="s">
        <v>233</v>
      </c>
      <c r="AF1470" s="3" t="s">
        <v>234</v>
      </c>
      <c r="AG1470" s="3" t="s">
        <v>235</v>
      </c>
      <c r="AH1470" s="17" t="s">
        <v>67</v>
      </c>
      <c r="AI1470" s="3" t="s">
        <v>233</v>
      </c>
      <c r="AJ1470" s="3" t="s">
        <v>234</v>
      </c>
      <c r="AK1470" s="3" t="s">
        <v>235</v>
      </c>
    </row>
    <row r="1471" spans="1:38">
      <c r="A1471" s="11" t="s">
        <v>92</v>
      </c>
      <c r="C1471" s="6">
        <f t="shared" ref="C1471:E1487" si="125">IF(C$1210&gt;0,$C1415*C$1460*24*$F$14/C$1210,0)</f>
        <v>10.846422821698042</v>
      </c>
      <c r="D1471" s="6">
        <f t="shared" si="125"/>
        <v>1.0939423844107548</v>
      </c>
      <c r="E1471" s="6">
        <f t="shared" si="125"/>
        <v>1.6540581634958324E-2</v>
      </c>
      <c r="G1471" s="6">
        <f t="shared" ref="G1471:G1487" si="126">IF(C$1210&gt;0,$C1415*G$1460*24*$F$14/C$1210,0)</f>
        <v>10.724951722364606</v>
      </c>
      <c r="H1471" s="6">
        <f t="shared" ref="H1471:H1487" si="127">IF(D$1210&gt;0,$C1415*H$1460*24*$F$14/D$1210,0)</f>
        <v>0.9078857310591798</v>
      </c>
      <c r="I1471" s="6">
        <f t="shared" ref="I1471:I1487" si="128">IF(E$1210&gt;0,$C1415*I$1460*24*$F$14/E$1210,0)</f>
        <v>0.19554196661366377</v>
      </c>
      <c r="K1471" s="6">
        <f t="shared" ref="K1471:K1487" si="129">IF(C$1210&gt;0,$C1415*K$1460*24*$F$14/C$1210,0)</f>
        <v>10.724951722364606</v>
      </c>
      <c r="L1471" s="6">
        <f t="shared" ref="L1471:L1487" si="130">IF(D$1210&gt;0,$C1415*L$1460*24*$F$14/D$1210,0)</f>
        <v>0.9078857310591798</v>
      </c>
      <c r="M1471" s="6">
        <f t="shared" ref="M1471:M1487" si="131">IF(E$1210&gt;0,$C1415*M$1460*24*$F$14/E$1210,0)</f>
        <v>0.19554196661366377</v>
      </c>
      <c r="O1471" s="6">
        <f t="shared" ref="O1471:O1487" si="132">IF(C$1210&gt;0,$C1415*O$1460*24*$F$14/C$1210,0)</f>
        <v>9.8729490917638021</v>
      </c>
      <c r="P1471" s="6">
        <f t="shared" ref="P1471:P1487" si="133">IF(D$1210&gt;0,$C1415*P$1460*24*$F$14/D$1210,0)</f>
        <v>1.1153961118711253</v>
      </c>
      <c r="Q1471" s="6">
        <f t="shared" ref="Q1471:Q1487" si="134">IF(E$1210&gt;0,$C1415*Q$1460*24*$F$14/E$1210,0)</f>
        <v>0.14421488753641443</v>
      </c>
      <c r="S1471" s="6">
        <f t="shared" ref="S1471:S1487" si="135">IF(C$1210&gt;0,$C1415*S$1460*24*$F$14/C$1210,0)</f>
        <v>9.8729490917638021</v>
      </c>
      <c r="T1471" s="6">
        <f t="shared" ref="T1471:T1487" si="136">IF(D$1210&gt;0,$C1415*T$1460*24*$F$14/D$1210,0)</f>
        <v>1.1153961118711253</v>
      </c>
      <c r="U1471" s="6">
        <f t="shared" ref="U1471:U1487" si="137">IF(E$1210&gt;0,$C1415*U$1460*24*$F$14/E$1210,0)</f>
        <v>0.14421488753641443</v>
      </c>
      <c r="W1471" s="6">
        <f t="shared" ref="W1471:W1487" si="138">IF(C$1210&gt;0,$C1415*W$1460*24*$F$14/C$1210,0)</f>
        <v>10.724951722364606</v>
      </c>
      <c r="X1471" s="6">
        <f t="shared" ref="X1471:X1487" si="139">IF(D$1210&gt;0,$C1415*X$1460*24*$F$14/D$1210,0)</f>
        <v>0.9078857310591798</v>
      </c>
      <c r="Y1471" s="6">
        <f t="shared" ref="Y1471:Y1487" si="140">IF(E$1210&gt;0,$C1415*Y$1460*24*$F$14/E$1210,0)</f>
        <v>0.19554196661366377</v>
      </c>
      <c r="AA1471" s="6">
        <f t="shared" ref="AA1471:AA1487" si="141">IF(C$1210&gt;0,$C1415*AA$1460*24*$F$14/C$1210,0)</f>
        <v>9.8729490917638021</v>
      </c>
      <c r="AB1471" s="6">
        <f t="shared" ref="AB1471:AB1487" si="142">IF(D$1210&gt;0,$C1415*AB$1460*24*$F$14/D$1210,0)</f>
        <v>1.1153961118711253</v>
      </c>
      <c r="AC1471" s="6">
        <f t="shared" ref="AC1471:AC1487" si="143">IF(E$1210&gt;0,$C1415*AC$1460*24*$F$14/E$1210,0)</f>
        <v>0.14421488753641443</v>
      </c>
      <c r="AE1471" s="6">
        <f t="shared" ref="AE1471:AE1487" si="144">IF(C$1210&gt;0,$C1415*AE$1460*24*$F$14/C$1210,0)</f>
        <v>9.8729490917638021</v>
      </c>
      <c r="AF1471" s="6">
        <f t="shared" ref="AF1471:AF1487" si="145">IF(D$1210&gt;0,$C1415*AF$1460*24*$F$14/D$1210,0)</f>
        <v>1.1153961118711253</v>
      </c>
      <c r="AG1471" s="6">
        <f t="shared" ref="AG1471:AG1487" si="146">IF(E$1210&gt;0,$C1415*AG$1460*24*$F$14/E$1210,0)</f>
        <v>0.14421488753641443</v>
      </c>
      <c r="AI1471" s="6">
        <f t="shared" ref="AI1471:AI1487" si="147">IF(C$1210&gt;0,$C1415*AI$1460*24*$F$14/C$1210,0)</f>
        <v>9.8729490917638021</v>
      </c>
      <c r="AJ1471" s="6">
        <f t="shared" ref="AJ1471:AJ1487" si="148">IF(D$1210&gt;0,$C1415*AJ$1460*24*$F$14/D$1210,0)</f>
        <v>1.1153961118711253</v>
      </c>
      <c r="AK1471" s="6">
        <f t="shared" ref="AK1471:AK1487" si="149">IF(E$1210&gt;0,$C1415*AK$1460*24*$F$14/E$1210,0)</f>
        <v>0.14421488753641443</v>
      </c>
      <c r="AL1471" s="10"/>
    </row>
    <row r="1472" spans="1:38">
      <c r="A1472" s="11" t="s">
        <v>93</v>
      </c>
      <c r="C1472" s="6">
        <f t="shared" si="125"/>
        <v>11.212207865735948</v>
      </c>
      <c r="D1472" s="6">
        <f t="shared" si="125"/>
        <v>1.1308345257032864</v>
      </c>
      <c r="E1472" s="6">
        <f t="shared" si="125"/>
        <v>1.7098396638228555E-2</v>
      </c>
      <c r="G1472" s="6">
        <f t="shared" si="126"/>
        <v>11.086640271903873</v>
      </c>
      <c r="H1472" s="6">
        <f t="shared" si="127"/>
        <v>0.9385032929573317</v>
      </c>
      <c r="I1472" s="6">
        <f t="shared" si="128"/>
        <v>0.20213642895805548</v>
      </c>
      <c r="K1472" s="6">
        <f t="shared" si="129"/>
        <v>11.086640271903873</v>
      </c>
      <c r="L1472" s="6">
        <f t="shared" si="130"/>
        <v>0.9385032929573317</v>
      </c>
      <c r="M1472" s="6">
        <f t="shared" si="131"/>
        <v>0.20213642895805548</v>
      </c>
      <c r="O1472" s="6">
        <f t="shared" si="132"/>
        <v>10.205904682531513</v>
      </c>
      <c r="P1472" s="6">
        <f t="shared" si="133"/>
        <v>1.1530117592239375</v>
      </c>
      <c r="Q1472" s="6">
        <f t="shared" si="134"/>
        <v>0.14907839413721749</v>
      </c>
      <c r="S1472" s="6">
        <f t="shared" si="135"/>
        <v>10.205904682531513</v>
      </c>
      <c r="T1472" s="6">
        <f t="shared" si="136"/>
        <v>1.1530117592239375</v>
      </c>
      <c r="U1472" s="6">
        <f t="shared" si="137"/>
        <v>0.14907839413721749</v>
      </c>
      <c r="W1472" s="6">
        <f t="shared" si="138"/>
        <v>11.086640271903873</v>
      </c>
      <c r="X1472" s="6">
        <f t="shared" si="139"/>
        <v>0.9385032929573317</v>
      </c>
      <c r="Y1472" s="6">
        <f t="shared" si="140"/>
        <v>0.20213642895805548</v>
      </c>
      <c r="AA1472" s="6">
        <f t="shared" si="141"/>
        <v>10.205904682531513</v>
      </c>
      <c r="AB1472" s="6">
        <f t="shared" si="142"/>
        <v>1.1530117592239375</v>
      </c>
      <c r="AC1472" s="6">
        <f t="shared" si="143"/>
        <v>0.14907839413721749</v>
      </c>
      <c r="AE1472" s="6">
        <f t="shared" si="144"/>
        <v>10.205904682531513</v>
      </c>
      <c r="AF1472" s="6">
        <f t="shared" si="145"/>
        <v>1.1530117592239375</v>
      </c>
      <c r="AG1472" s="6">
        <f t="shared" si="146"/>
        <v>0.14907839413721749</v>
      </c>
      <c r="AI1472" s="6">
        <f t="shared" si="147"/>
        <v>10.205904682531513</v>
      </c>
      <c r="AJ1472" s="6">
        <f t="shared" si="148"/>
        <v>1.1530117592239375</v>
      </c>
      <c r="AK1472" s="6">
        <f t="shared" si="149"/>
        <v>0.14907839413721749</v>
      </c>
      <c r="AL1472" s="10"/>
    </row>
    <row r="1473" spans="1:38">
      <c r="A1473" s="11" t="s">
        <v>129</v>
      </c>
      <c r="C1473" s="6">
        <f t="shared" si="125"/>
        <v>8.4325219101767992</v>
      </c>
      <c r="D1473" s="6">
        <f t="shared" si="125"/>
        <v>0.85048253019981268</v>
      </c>
      <c r="E1473" s="6">
        <f t="shared" si="125"/>
        <v>1.2859430186036044E-2</v>
      </c>
      <c r="G1473" s="6">
        <f t="shared" si="126"/>
        <v>8.3380845345165628</v>
      </c>
      <c r="H1473" s="6">
        <f t="shared" si="127"/>
        <v>0.70583329130210692</v>
      </c>
      <c r="I1473" s="6">
        <f t="shared" si="128"/>
        <v>0.15202356988427249</v>
      </c>
      <c r="K1473" s="6">
        <f t="shared" si="129"/>
        <v>8.3380845345165628</v>
      </c>
      <c r="L1473" s="6">
        <f t="shared" si="130"/>
        <v>0.70583329130210692</v>
      </c>
      <c r="M1473" s="6">
        <f t="shared" si="131"/>
        <v>0.15202356988427249</v>
      </c>
      <c r="O1473" s="6">
        <f t="shared" si="132"/>
        <v>7.6756974076108113</v>
      </c>
      <c r="P1473" s="6">
        <f t="shared" si="133"/>
        <v>0.86716167223940099</v>
      </c>
      <c r="Q1473" s="6">
        <f t="shared" si="134"/>
        <v>0.11211947191397745</v>
      </c>
      <c r="S1473" s="6">
        <f t="shared" si="135"/>
        <v>7.6756974076108113</v>
      </c>
      <c r="T1473" s="6">
        <f t="shared" si="136"/>
        <v>0.86716167223940099</v>
      </c>
      <c r="U1473" s="6">
        <f t="shared" si="137"/>
        <v>0.11211947191397745</v>
      </c>
      <c r="W1473" s="6">
        <f t="shared" si="138"/>
        <v>8.3380845345165628</v>
      </c>
      <c r="X1473" s="6">
        <f t="shared" si="139"/>
        <v>0.70583329130210692</v>
      </c>
      <c r="Y1473" s="6">
        <f t="shared" si="140"/>
        <v>0.15202356988427249</v>
      </c>
      <c r="AA1473" s="6">
        <f t="shared" si="141"/>
        <v>7.6756974076108113</v>
      </c>
      <c r="AB1473" s="6">
        <f t="shared" si="142"/>
        <v>0.86716167223940099</v>
      </c>
      <c r="AC1473" s="6">
        <f t="shared" si="143"/>
        <v>0.11211947191397745</v>
      </c>
      <c r="AE1473" s="6">
        <f t="shared" si="144"/>
        <v>7.6756974076108113</v>
      </c>
      <c r="AF1473" s="6">
        <f t="shared" si="145"/>
        <v>0.86716167223940099</v>
      </c>
      <c r="AG1473" s="6">
        <f t="shared" si="146"/>
        <v>0.11211947191397745</v>
      </c>
      <c r="AI1473" s="6">
        <f t="shared" si="147"/>
        <v>7.6756974076108113</v>
      </c>
      <c r="AJ1473" s="6">
        <f t="shared" si="148"/>
        <v>0.86716167223940099</v>
      </c>
      <c r="AK1473" s="6">
        <f t="shared" si="149"/>
        <v>0.11211947191397745</v>
      </c>
      <c r="AL1473" s="10"/>
    </row>
    <row r="1474" spans="1:38">
      <c r="A1474" s="11" t="s">
        <v>94</v>
      </c>
      <c r="C1474" s="6">
        <f t="shared" si="125"/>
        <v>13.536085701674621</v>
      </c>
      <c r="D1474" s="6">
        <f t="shared" si="125"/>
        <v>1.3652148834227418</v>
      </c>
      <c r="E1474" s="6">
        <f t="shared" si="125"/>
        <v>2.0642264666138999E-2</v>
      </c>
      <c r="G1474" s="6">
        <f t="shared" si="126"/>
        <v>13.384492569276649</v>
      </c>
      <c r="H1474" s="6">
        <f t="shared" si="127"/>
        <v>1.133020468127081</v>
      </c>
      <c r="I1474" s="6">
        <f t="shared" si="128"/>
        <v>0.24403186763672319</v>
      </c>
      <c r="K1474" s="6">
        <f t="shared" si="129"/>
        <v>13.384492569276649</v>
      </c>
      <c r="L1474" s="6">
        <f t="shared" si="130"/>
        <v>1.133020468127081</v>
      </c>
      <c r="M1474" s="6">
        <f t="shared" si="131"/>
        <v>0.24403186763672319</v>
      </c>
      <c r="O1474" s="6">
        <f t="shared" si="132"/>
        <v>12.321212922571968</v>
      </c>
      <c r="P1474" s="6">
        <f t="shared" si="133"/>
        <v>1.3919886408446824</v>
      </c>
      <c r="Q1474" s="6">
        <f t="shared" si="134"/>
        <v>0.17997685589438089</v>
      </c>
      <c r="S1474" s="6">
        <f t="shared" si="135"/>
        <v>12.321212922571968</v>
      </c>
      <c r="T1474" s="6">
        <f t="shared" si="136"/>
        <v>1.3919886408446824</v>
      </c>
      <c r="U1474" s="6">
        <f t="shared" si="137"/>
        <v>0.17997685589438089</v>
      </c>
      <c r="W1474" s="6">
        <f t="shared" si="138"/>
        <v>13.384492569276649</v>
      </c>
      <c r="X1474" s="6">
        <f t="shared" si="139"/>
        <v>1.133020468127081</v>
      </c>
      <c r="Y1474" s="6">
        <f t="shared" si="140"/>
        <v>0.24403186763672319</v>
      </c>
      <c r="AA1474" s="6">
        <f t="shared" si="141"/>
        <v>12.321212922571968</v>
      </c>
      <c r="AB1474" s="6">
        <f t="shared" si="142"/>
        <v>1.3919886408446824</v>
      </c>
      <c r="AC1474" s="6">
        <f t="shared" si="143"/>
        <v>0.17997685589438089</v>
      </c>
      <c r="AE1474" s="6">
        <f t="shared" si="144"/>
        <v>12.321212922571968</v>
      </c>
      <c r="AF1474" s="6">
        <f t="shared" si="145"/>
        <v>1.3919886408446824</v>
      </c>
      <c r="AG1474" s="6">
        <f t="shared" si="146"/>
        <v>0.17997685589438089</v>
      </c>
      <c r="AI1474" s="6">
        <f t="shared" si="147"/>
        <v>12.321212922571968</v>
      </c>
      <c r="AJ1474" s="6">
        <f t="shared" si="148"/>
        <v>1.3919886408446824</v>
      </c>
      <c r="AK1474" s="6">
        <f t="shared" si="149"/>
        <v>0.17997685589438089</v>
      </c>
      <c r="AL1474" s="10"/>
    </row>
    <row r="1475" spans="1:38">
      <c r="A1475" s="11" t="s">
        <v>95</v>
      </c>
      <c r="C1475" s="6">
        <f t="shared" si="125"/>
        <v>12.263411036360916</v>
      </c>
      <c r="D1475" s="6">
        <f t="shared" si="125"/>
        <v>1.2368561811262297</v>
      </c>
      <c r="E1475" s="6">
        <f t="shared" si="125"/>
        <v>1.8701460813807799E-2</v>
      </c>
      <c r="G1475" s="6">
        <f t="shared" si="126"/>
        <v>12.126070823402912</v>
      </c>
      <c r="H1475" s="6">
        <f t="shared" si="127"/>
        <v>1.0264928886741218</v>
      </c>
      <c r="I1475" s="6">
        <f t="shared" si="128"/>
        <v>0.22108777712819294</v>
      </c>
      <c r="K1475" s="6">
        <f t="shared" si="129"/>
        <v>12.126070823402912</v>
      </c>
      <c r="L1475" s="6">
        <f t="shared" si="130"/>
        <v>1.0264928886741218</v>
      </c>
      <c r="M1475" s="6">
        <f t="shared" si="131"/>
        <v>0.22108777712819294</v>
      </c>
      <c r="O1475" s="6">
        <f t="shared" si="132"/>
        <v>11.16276166287337</v>
      </c>
      <c r="P1475" s="6">
        <f t="shared" si="133"/>
        <v>1.2611126463621476</v>
      </c>
      <c r="Q1475" s="6">
        <f t="shared" si="134"/>
        <v>0.16305527384416846</v>
      </c>
      <c r="S1475" s="6">
        <f t="shared" si="135"/>
        <v>11.16276166287337</v>
      </c>
      <c r="T1475" s="6">
        <f t="shared" si="136"/>
        <v>1.2611126463621476</v>
      </c>
      <c r="U1475" s="6">
        <f t="shared" si="137"/>
        <v>0.16305527384416846</v>
      </c>
      <c r="W1475" s="6">
        <f t="shared" si="138"/>
        <v>12.126070823402912</v>
      </c>
      <c r="X1475" s="6">
        <f t="shared" si="139"/>
        <v>1.0264928886741218</v>
      </c>
      <c r="Y1475" s="6">
        <f t="shared" si="140"/>
        <v>0.22108777712819294</v>
      </c>
      <c r="AA1475" s="6">
        <f t="shared" si="141"/>
        <v>11.16276166287337</v>
      </c>
      <c r="AB1475" s="6">
        <f t="shared" si="142"/>
        <v>1.2611126463621476</v>
      </c>
      <c r="AC1475" s="6">
        <f t="shared" si="143"/>
        <v>0.16305527384416846</v>
      </c>
      <c r="AE1475" s="6">
        <f t="shared" si="144"/>
        <v>11.16276166287337</v>
      </c>
      <c r="AF1475" s="6">
        <f t="shared" si="145"/>
        <v>1.2611126463621476</v>
      </c>
      <c r="AG1475" s="6">
        <f t="shared" si="146"/>
        <v>0.16305527384416846</v>
      </c>
      <c r="AI1475" s="6">
        <f t="shared" si="147"/>
        <v>11.16276166287337</v>
      </c>
      <c r="AJ1475" s="6">
        <f t="shared" si="148"/>
        <v>1.2611126463621476</v>
      </c>
      <c r="AK1475" s="6">
        <f t="shared" si="149"/>
        <v>0.16305527384416846</v>
      </c>
      <c r="AL1475" s="10"/>
    </row>
    <row r="1476" spans="1:38">
      <c r="A1476" s="11" t="s">
        <v>130</v>
      </c>
      <c r="C1476" s="6">
        <f t="shared" si="125"/>
        <v>8.4325219101767992</v>
      </c>
      <c r="D1476" s="6">
        <f t="shared" si="125"/>
        <v>0.85048253019981268</v>
      </c>
      <c r="E1476" s="6">
        <f t="shared" si="125"/>
        <v>1.2859430186036044E-2</v>
      </c>
      <c r="G1476" s="6">
        <f t="shared" si="126"/>
        <v>8.3380845345165628</v>
      </c>
      <c r="H1476" s="6">
        <f t="shared" si="127"/>
        <v>0.70583329130210692</v>
      </c>
      <c r="I1476" s="6">
        <f t="shared" si="128"/>
        <v>0.15202356988427249</v>
      </c>
      <c r="K1476" s="6">
        <f t="shared" si="129"/>
        <v>8.3380845345165628</v>
      </c>
      <c r="L1476" s="6">
        <f t="shared" si="130"/>
        <v>0.70583329130210692</v>
      </c>
      <c r="M1476" s="6">
        <f t="shared" si="131"/>
        <v>0.15202356988427249</v>
      </c>
      <c r="O1476" s="6">
        <f t="shared" si="132"/>
        <v>7.6756974076108113</v>
      </c>
      <c r="P1476" s="6">
        <f t="shared" si="133"/>
        <v>0.86716167223940099</v>
      </c>
      <c r="Q1476" s="6">
        <f t="shared" si="134"/>
        <v>0.11211947191397745</v>
      </c>
      <c r="S1476" s="6">
        <f t="shared" si="135"/>
        <v>7.6756974076108113</v>
      </c>
      <c r="T1476" s="6">
        <f t="shared" si="136"/>
        <v>0.86716167223940099</v>
      </c>
      <c r="U1476" s="6">
        <f t="shared" si="137"/>
        <v>0.11211947191397745</v>
      </c>
      <c r="W1476" s="6">
        <f t="shared" si="138"/>
        <v>8.3380845345165628</v>
      </c>
      <c r="X1476" s="6">
        <f t="shared" si="139"/>
        <v>0.70583329130210692</v>
      </c>
      <c r="Y1476" s="6">
        <f t="shared" si="140"/>
        <v>0.15202356988427249</v>
      </c>
      <c r="AA1476" s="6">
        <f t="shared" si="141"/>
        <v>7.6756974076108113</v>
      </c>
      <c r="AB1476" s="6">
        <f t="shared" si="142"/>
        <v>0.86716167223940099</v>
      </c>
      <c r="AC1476" s="6">
        <f t="shared" si="143"/>
        <v>0.11211947191397745</v>
      </c>
      <c r="AE1476" s="6">
        <f t="shared" si="144"/>
        <v>7.6756974076108113</v>
      </c>
      <c r="AF1476" s="6">
        <f t="shared" si="145"/>
        <v>0.86716167223940099</v>
      </c>
      <c r="AG1476" s="6">
        <f t="shared" si="146"/>
        <v>0.11211947191397745</v>
      </c>
      <c r="AI1476" s="6">
        <f t="shared" si="147"/>
        <v>7.6756974076108113</v>
      </c>
      <c r="AJ1476" s="6">
        <f t="shared" si="148"/>
        <v>0.86716167223940099</v>
      </c>
      <c r="AK1476" s="6">
        <f t="shared" si="149"/>
        <v>0.11211947191397745</v>
      </c>
      <c r="AL1476" s="10"/>
    </row>
    <row r="1477" spans="1:38">
      <c r="A1477" s="11" t="s">
        <v>96</v>
      </c>
      <c r="C1477" s="6">
        <f t="shared" si="125"/>
        <v>11.176747227438128</v>
      </c>
      <c r="D1477" s="6">
        <f t="shared" si="125"/>
        <v>1.1272580566821226</v>
      </c>
      <c r="E1477" s="6">
        <f t="shared" si="125"/>
        <v>1.7044319861743363E-2</v>
      </c>
      <c r="G1477" s="6">
        <f t="shared" si="126"/>
        <v>11.051576763866223</v>
      </c>
      <c r="H1477" s="6">
        <f t="shared" si="127"/>
        <v>0.93553510629763059</v>
      </c>
      <c r="I1477" s="6">
        <f t="shared" si="128"/>
        <v>0.2014971358875087</v>
      </c>
      <c r="K1477" s="6">
        <f t="shared" si="129"/>
        <v>11.051576763866223</v>
      </c>
      <c r="L1477" s="6">
        <f t="shared" si="130"/>
        <v>0.93553510629763059</v>
      </c>
      <c r="M1477" s="6">
        <f t="shared" si="131"/>
        <v>0.2014971358875087</v>
      </c>
      <c r="O1477" s="6">
        <f t="shared" si="132"/>
        <v>10.173626660327226</v>
      </c>
      <c r="P1477" s="6">
        <f t="shared" si="133"/>
        <v>1.1493651506846934</v>
      </c>
      <c r="Q1477" s="6">
        <f t="shared" si="134"/>
        <v>0.14860690671245477</v>
      </c>
      <c r="S1477" s="6">
        <f t="shared" si="135"/>
        <v>10.173626660327226</v>
      </c>
      <c r="T1477" s="6">
        <f t="shared" si="136"/>
        <v>1.1493651506846934</v>
      </c>
      <c r="U1477" s="6">
        <f t="shared" si="137"/>
        <v>0.14860690671245477</v>
      </c>
      <c r="W1477" s="6">
        <f t="shared" si="138"/>
        <v>11.051576763866223</v>
      </c>
      <c r="X1477" s="6">
        <f t="shared" si="139"/>
        <v>0.93553510629763059</v>
      </c>
      <c r="Y1477" s="6">
        <f t="shared" si="140"/>
        <v>0.2014971358875087</v>
      </c>
      <c r="AA1477" s="6">
        <f t="shared" si="141"/>
        <v>10.173626660327226</v>
      </c>
      <c r="AB1477" s="6">
        <f t="shared" si="142"/>
        <v>1.1493651506846934</v>
      </c>
      <c r="AC1477" s="6">
        <f t="shared" si="143"/>
        <v>0.14860690671245477</v>
      </c>
      <c r="AE1477" s="6">
        <f t="shared" si="144"/>
        <v>10.173626660327226</v>
      </c>
      <c r="AF1477" s="6">
        <f t="shared" si="145"/>
        <v>1.1493651506846934</v>
      </c>
      <c r="AG1477" s="6">
        <f t="shared" si="146"/>
        <v>0.14860690671245477</v>
      </c>
      <c r="AI1477" s="6">
        <f t="shared" si="147"/>
        <v>10.173626660327226</v>
      </c>
      <c r="AJ1477" s="6">
        <f t="shared" si="148"/>
        <v>1.1493651506846934</v>
      </c>
      <c r="AK1477" s="6">
        <f t="shared" si="149"/>
        <v>0.14860690671245477</v>
      </c>
      <c r="AL1477" s="10"/>
    </row>
    <row r="1478" spans="1:38">
      <c r="A1478" s="11" t="s">
        <v>97</v>
      </c>
      <c r="C1478" s="6">
        <f t="shared" si="125"/>
        <v>11.420534547749449</v>
      </c>
      <c r="D1478" s="6">
        <f t="shared" si="125"/>
        <v>1.1518458204872519</v>
      </c>
      <c r="E1478" s="6">
        <f t="shared" si="125"/>
        <v>1.7416090733989874E-2</v>
      </c>
      <c r="G1478" s="6">
        <f t="shared" si="126"/>
        <v>11.292633864796596</v>
      </c>
      <c r="H1478" s="6">
        <f t="shared" si="127"/>
        <v>0.95594100722572595</v>
      </c>
      <c r="I1478" s="6">
        <f t="shared" si="128"/>
        <v>0.20589219339474388</v>
      </c>
      <c r="K1478" s="6">
        <f t="shared" si="129"/>
        <v>11.292633864796596</v>
      </c>
      <c r="L1478" s="6">
        <f t="shared" si="130"/>
        <v>0.95594100722572595</v>
      </c>
      <c r="M1478" s="6">
        <f t="shared" si="131"/>
        <v>0.20589219339474388</v>
      </c>
      <c r="O1478" s="6">
        <f t="shared" si="132"/>
        <v>10.395533904975318</v>
      </c>
      <c r="P1478" s="6">
        <f t="shared" si="133"/>
        <v>1.1744351146413592</v>
      </c>
      <c r="Q1478" s="6">
        <f t="shared" si="134"/>
        <v>0.15184832202139595</v>
      </c>
      <c r="S1478" s="6">
        <f t="shared" si="135"/>
        <v>10.395533904975318</v>
      </c>
      <c r="T1478" s="6">
        <f t="shared" si="136"/>
        <v>1.1744351146413592</v>
      </c>
      <c r="U1478" s="6">
        <f t="shared" si="137"/>
        <v>0.15184832202139595</v>
      </c>
      <c r="W1478" s="6">
        <f t="shared" si="138"/>
        <v>11.292633864796596</v>
      </c>
      <c r="X1478" s="6">
        <f t="shared" si="139"/>
        <v>0.95594100722572595</v>
      </c>
      <c r="Y1478" s="6">
        <f t="shared" si="140"/>
        <v>0.20589219339474388</v>
      </c>
      <c r="AA1478" s="6">
        <f t="shared" si="141"/>
        <v>10.395533904975318</v>
      </c>
      <c r="AB1478" s="6">
        <f t="shared" si="142"/>
        <v>1.1744351146413592</v>
      </c>
      <c r="AC1478" s="6">
        <f t="shared" si="143"/>
        <v>0.15184832202139595</v>
      </c>
      <c r="AE1478" s="6">
        <f t="shared" si="144"/>
        <v>10.395533904975318</v>
      </c>
      <c r="AF1478" s="6">
        <f t="shared" si="145"/>
        <v>1.1744351146413592</v>
      </c>
      <c r="AG1478" s="6">
        <f t="shared" si="146"/>
        <v>0.15184832202139595</v>
      </c>
      <c r="AI1478" s="6">
        <f t="shared" si="147"/>
        <v>10.395533904975318</v>
      </c>
      <c r="AJ1478" s="6">
        <f t="shared" si="148"/>
        <v>1.1744351146413592</v>
      </c>
      <c r="AK1478" s="6">
        <f t="shared" si="149"/>
        <v>0.15184832202139595</v>
      </c>
      <c r="AL1478" s="10"/>
    </row>
    <row r="1479" spans="1:38">
      <c r="A1479" s="11" t="s">
        <v>110</v>
      </c>
      <c r="C1479" s="6">
        <f t="shared" si="125"/>
        <v>10.64481388749317</v>
      </c>
      <c r="D1479" s="6">
        <f t="shared" si="125"/>
        <v>1.0736086244395517</v>
      </c>
      <c r="E1479" s="6">
        <f t="shared" si="125"/>
        <v>1.6233131972579164E-2</v>
      </c>
      <c r="G1479" s="6">
        <f t="shared" si="126"/>
        <v>10.525600643977812</v>
      </c>
      <c r="H1479" s="6">
        <f t="shared" si="127"/>
        <v>0.89101031714368228</v>
      </c>
      <c r="I1479" s="6">
        <f t="shared" si="128"/>
        <v>0.19190731137945696</v>
      </c>
      <c r="K1479" s="6">
        <f t="shared" si="129"/>
        <v>10.525600643977812</v>
      </c>
      <c r="L1479" s="6">
        <f t="shared" si="130"/>
        <v>0.89101031714368228</v>
      </c>
      <c r="M1479" s="6">
        <f t="shared" si="131"/>
        <v>0.19190731137945696</v>
      </c>
      <c r="O1479" s="6">
        <f t="shared" si="132"/>
        <v>9.689434694752876</v>
      </c>
      <c r="P1479" s="6">
        <f t="shared" si="133"/>
        <v>1.0946635786638876</v>
      </c>
      <c r="Q1479" s="6">
        <f t="shared" si="134"/>
        <v>0.14153427935336185</v>
      </c>
      <c r="S1479" s="6">
        <f t="shared" si="135"/>
        <v>9.689434694752876</v>
      </c>
      <c r="T1479" s="6">
        <f t="shared" si="136"/>
        <v>1.0946635786638876</v>
      </c>
      <c r="U1479" s="6">
        <f t="shared" si="137"/>
        <v>0.14153427935336185</v>
      </c>
      <c r="W1479" s="6">
        <f t="shared" si="138"/>
        <v>10.525600643977812</v>
      </c>
      <c r="X1479" s="6">
        <f t="shared" si="139"/>
        <v>0.89101031714368228</v>
      </c>
      <c r="Y1479" s="6">
        <f t="shared" si="140"/>
        <v>0.19190731137945696</v>
      </c>
      <c r="AA1479" s="6">
        <f t="shared" si="141"/>
        <v>9.689434694752876</v>
      </c>
      <c r="AB1479" s="6">
        <f t="shared" si="142"/>
        <v>1.0946635786638876</v>
      </c>
      <c r="AC1479" s="6">
        <f t="shared" si="143"/>
        <v>0.14153427935336185</v>
      </c>
      <c r="AE1479" s="6">
        <f t="shared" si="144"/>
        <v>9.689434694752876</v>
      </c>
      <c r="AF1479" s="6">
        <f t="shared" si="145"/>
        <v>1.0946635786638876</v>
      </c>
      <c r="AG1479" s="6">
        <f t="shared" si="146"/>
        <v>0.14153427935336185</v>
      </c>
      <c r="AI1479" s="6">
        <f t="shared" si="147"/>
        <v>9.689434694752876</v>
      </c>
      <c r="AJ1479" s="6">
        <f t="shared" si="148"/>
        <v>1.0946635786638876</v>
      </c>
      <c r="AK1479" s="6">
        <f t="shared" si="149"/>
        <v>0.14153427935336185</v>
      </c>
      <c r="AL1479" s="10"/>
    </row>
    <row r="1480" spans="1:38">
      <c r="A1480" s="11" t="s">
        <v>1647</v>
      </c>
      <c r="C1480" s="6">
        <f t="shared" si="125"/>
        <v>8.4325219101767992</v>
      </c>
      <c r="D1480" s="6">
        <f t="shared" si="125"/>
        <v>0.85048253019981268</v>
      </c>
      <c r="E1480" s="6">
        <f t="shared" si="125"/>
        <v>1.2859430186036044E-2</v>
      </c>
      <c r="G1480" s="6">
        <f t="shared" si="126"/>
        <v>8.3380845345165628</v>
      </c>
      <c r="H1480" s="6">
        <f t="shared" si="127"/>
        <v>0.70583329130210692</v>
      </c>
      <c r="I1480" s="6">
        <f t="shared" si="128"/>
        <v>0.15202356988427249</v>
      </c>
      <c r="K1480" s="6">
        <f t="shared" si="129"/>
        <v>8.3380845345165628</v>
      </c>
      <c r="L1480" s="6">
        <f t="shared" si="130"/>
        <v>0.70583329130210692</v>
      </c>
      <c r="M1480" s="6">
        <f t="shared" si="131"/>
        <v>0.15202356988427249</v>
      </c>
      <c r="O1480" s="6">
        <f t="shared" si="132"/>
        <v>7.6756974076108113</v>
      </c>
      <c r="P1480" s="6">
        <f t="shared" si="133"/>
        <v>0.86716167223940099</v>
      </c>
      <c r="Q1480" s="6">
        <f t="shared" si="134"/>
        <v>0.11211947191397745</v>
      </c>
      <c r="S1480" s="6">
        <f t="shared" si="135"/>
        <v>7.6756974076108113</v>
      </c>
      <c r="T1480" s="6">
        <f t="shared" si="136"/>
        <v>0.86716167223940099</v>
      </c>
      <c r="U1480" s="6">
        <f t="shared" si="137"/>
        <v>0.11211947191397745</v>
      </c>
      <c r="W1480" s="6">
        <f t="shared" si="138"/>
        <v>8.3380845345165628</v>
      </c>
      <c r="X1480" s="6">
        <f t="shared" si="139"/>
        <v>0.70583329130210692</v>
      </c>
      <c r="Y1480" s="6">
        <f t="shared" si="140"/>
        <v>0.15202356988427249</v>
      </c>
      <c r="AA1480" s="6">
        <f t="shared" si="141"/>
        <v>7.6756974076108113</v>
      </c>
      <c r="AB1480" s="6">
        <f t="shared" si="142"/>
        <v>0.86716167223940099</v>
      </c>
      <c r="AC1480" s="6">
        <f t="shared" si="143"/>
        <v>0.11211947191397745</v>
      </c>
      <c r="AE1480" s="6">
        <f t="shared" si="144"/>
        <v>7.6756974076108113</v>
      </c>
      <c r="AF1480" s="6">
        <f t="shared" si="145"/>
        <v>0.86716167223940099</v>
      </c>
      <c r="AG1480" s="6">
        <f t="shared" si="146"/>
        <v>0.11211947191397745</v>
      </c>
      <c r="AI1480" s="6">
        <f t="shared" si="147"/>
        <v>7.6756974076108113</v>
      </c>
      <c r="AJ1480" s="6">
        <f t="shared" si="148"/>
        <v>0.86716167223940099</v>
      </c>
      <c r="AK1480" s="6">
        <f t="shared" si="149"/>
        <v>0.11211947191397745</v>
      </c>
      <c r="AL1480" s="10"/>
    </row>
    <row r="1481" spans="1:38">
      <c r="A1481" s="11" t="s">
        <v>1646</v>
      </c>
      <c r="C1481" s="6">
        <f t="shared" si="125"/>
        <v>8.4325219101767992</v>
      </c>
      <c r="D1481" s="6">
        <f t="shared" si="125"/>
        <v>0.85048253019981268</v>
      </c>
      <c r="E1481" s="6">
        <f t="shared" si="125"/>
        <v>1.2859430186036044E-2</v>
      </c>
      <c r="G1481" s="6">
        <f t="shared" si="126"/>
        <v>8.3380845345165628</v>
      </c>
      <c r="H1481" s="6">
        <f t="shared" si="127"/>
        <v>0.70583329130210692</v>
      </c>
      <c r="I1481" s="6">
        <f t="shared" si="128"/>
        <v>0.15202356988427249</v>
      </c>
      <c r="K1481" s="6">
        <f t="shared" si="129"/>
        <v>8.3380845345165628</v>
      </c>
      <c r="L1481" s="6">
        <f t="shared" si="130"/>
        <v>0.70583329130210692</v>
      </c>
      <c r="M1481" s="6">
        <f t="shared" si="131"/>
        <v>0.15202356988427249</v>
      </c>
      <c r="O1481" s="6">
        <f t="shared" si="132"/>
        <v>7.6756974076108113</v>
      </c>
      <c r="P1481" s="6">
        <f t="shared" si="133"/>
        <v>0.86716167223940099</v>
      </c>
      <c r="Q1481" s="6">
        <f t="shared" si="134"/>
        <v>0.11211947191397745</v>
      </c>
      <c r="S1481" s="6">
        <f t="shared" si="135"/>
        <v>7.6756974076108113</v>
      </c>
      <c r="T1481" s="6">
        <f t="shared" si="136"/>
        <v>0.86716167223940099</v>
      </c>
      <c r="U1481" s="6">
        <f t="shared" si="137"/>
        <v>0.11211947191397745</v>
      </c>
      <c r="W1481" s="6">
        <f t="shared" si="138"/>
        <v>8.3380845345165628</v>
      </c>
      <c r="X1481" s="6">
        <f t="shared" si="139"/>
        <v>0.70583329130210692</v>
      </c>
      <c r="Y1481" s="6">
        <f t="shared" si="140"/>
        <v>0.15202356988427249</v>
      </c>
      <c r="AA1481" s="6">
        <f t="shared" si="141"/>
        <v>7.6756974076108113</v>
      </c>
      <c r="AB1481" s="6">
        <f t="shared" si="142"/>
        <v>0.86716167223940099</v>
      </c>
      <c r="AC1481" s="6">
        <f t="shared" si="143"/>
        <v>0.11211947191397745</v>
      </c>
      <c r="AE1481" s="6">
        <f t="shared" si="144"/>
        <v>7.6756974076108113</v>
      </c>
      <c r="AF1481" s="6">
        <f t="shared" si="145"/>
        <v>0.86716167223940099</v>
      </c>
      <c r="AG1481" s="6">
        <f t="shared" si="146"/>
        <v>0.11211947191397745</v>
      </c>
      <c r="AI1481" s="6">
        <f t="shared" si="147"/>
        <v>7.6756974076108113</v>
      </c>
      <c r="AJ1481" s="6">
        <f t="shared" si="148"/>
        <v>0.86716167223940099</v>
      </c>
      <c r="AK1481" s="6">
        <f t="shared" si="149"/>
        <v>0.11211947191397745</v>
      </c>
      <c r="AL1481" s="10"/>
    </row>
    <row r="1482" spans="1:38">
      <c r="A1482" s="11" t="s">
        <v>98</v>
      </c>
      <c r="C1482" s="6">
        <f t="shared" si="125"/>
        <v>9.8306813190055813</v>
      </c>
      <c r="D1482" s="6">
        <f t="shared" si="125"/>
        <v>0.99149730185528839</v>
      </c>
      <c r="E1482" s="6">
        <f t="shared" si="125"/>
        <v>1.499159580603693E-2</v>
      </c>
      <c r="G1482" s="6">
        <f t="shared" si="126"/>
        <v>9.7205856970068343</v>
      </c>
      <c r="H1482" s="6">
        <f t="shared" si="127"/>
        <v>0.82286440818632456</v>
      </c>
      <c r="I1482" s="6">
        <f t="shared" si="128"/>
        <v>0.17722993007657931</v>
      </c>
      <c r="K1482" s="6">
        <f t="shared" si="129"/>
        <v>9.7205856970068343</v>
      </c>
      <c r="L1482" s="6">
        <f t="shared" si="130"/>
        <v>0.82286440818632456</v>
      </c>
      <c r="M1482" s="6">
        <f t="shared" si="131"/>
        <v>0.17722993007657931</v>
      </c>
      <c r="O1482" s="6">
        <f t="shared" si="132"/>
        <v>8.9483710708505111</v>
      </c>
      <c r="P1482" s="6">
        <f t="shared" si="133"/>
        <v>1.0109419391550429</v>
      </c>
      <c r="Q1482" s="6">
        <f t="shared" si="134"/>
        <v>0.13070950894432953</v>
      </c>
      <c r="S1482" s="6">
        <f t="shared" si="135"/>
        <v>8.9483710708505111</v>
      </c>
      <c r="T1482" s="6">
        <f t="shared" si="136"/>
        <v>1.0109419391550429</v>
      </c>
      <c r="U1482" s="6">
        <f t="shared" si="137"/>
        <v>0.13070950894432953</v>
      </c>
      <c r="W1482" s="6">
        <f t="shared" si="138"/>
        <v>9.7205856970068343</v>
      </c>
      <c r="X1482" s="6">
        <f t="shared" si="139"/>
        <v>0.82286440818632456</v>
      </c>
      <c r="Y1482" s="6">
        <f t="shared" si="140"/>
        <v>0.17722993007657931</v>
      </c>
      <c r="AA1482" s="6">
        <f t="shared" si="141"/>
        <v>8.9483710708505111</v>
      </c>
      <c r="AB1482" s="6">
        <f t="shared" si="142"/>
        <v>1.0109419391550429</v>
      </c>
      <c r="AC1482" s="6">
        <f t="shared" si="143"/>
        <v>0.13070950894432953</v>
      </c>
      <c r="AE1482" s="6">
        <f t="shared" si="144"/>
        <v>8.9483710708505111</v>
      </c>
      <c r="AF1482" s="6">
        <f t="shared" si="145"/>
        <v>1.0109419391550429</v>
      </c>
      <c r="AG1482" s="6">
        <f t="shared" si="146"/>
        <v>0.13070950894432953</v>
      </c>
      <c r="AI1482" s="6">
        <f t="shared" si="147"/>
        <v>8.9483710708505111</v>
      </c>
      <c r="AJ1482" s="6">
        <f t="shared" si="148"/>
        <v>1.0109419391550429</v>
      </c>
      <c r="AK1482" s="6">
        <f t="shared" si="149"/>
        <v>0.13070950894432953</v>
      </c>
      <c r="AL1482" s="10"/>
    </row>
    <row r="1483" spans="1:38">
      <c r="A1483" s="11" t="s">
        <v>99</v>
      </c>
      <c r="C1483" s="6">
        <f t="shared" si="125"/>
        <v>8.8830969393094499</v>
      </c>
      <c r="D1483" s="6">
        <f t="shared" si="125"/>
        <v>0.89592637190025537</v>
      </c>
      <c r="E1483" s="6">
        <f t="shared" si="125"/>
        <v>1.3546548250171734E-2</v>
      </c>
      <c r="G1483" s="6">
        <f t="shared" si="126"/>
        <v>8.7836134903934795</v>
      </c>
      <c r="H1483" s="6">
        <f t="shared" si="127"/>
        <v>0.74354808874691691</v>
      </c>
      <c r="I1483" s="6">
        <f t="shared" si="128"/>
        <v>0.16014664684263635</v>
      </c>
      <c r="K1483" s="6">
        <f t="shared" si="129"/>
        <v>8.7836134903934795</v>
      </c>
      <c r="L1483" s="6">
        <f t="shared" si="130"/>
        <v>0.74354808874691691</v>
      </c>
      <c r="M1483" s="6">
        <f t="shared" si="131"/>
        <v>0.16014664684263635</v>
      </c>
      <c r="O1483" s="6">
        <f t="shared" si="132"/>
        <v>8.085833025387716</v>
      </c>
      <c r="P1483" s="6">
        <f t="shared" si="133"/>
        <v>0.91349673070636361</v>
      </c>
      <c r="Q1483" s="6">
        <f t="shared" si="134"/>
        <v>0.11811035279897221</v>
      </c>
      <c r="S1483" s="6">
        <f t="shared" si="135"/>
        <v>8.085833025387716</v>
      </c>
      <c r="T1483" s="6">
        <f t="shared" si="136"/>
        <v>0.91349673070636361</v>
      </c>
      <c r="U1483" s="6">
        <f t="shared" si="137"/>
        <v>0.11811035279897221</v>
      </c>
      <c r="W1483" s="6">
        <f t="shared" si="138"/>
        <v>8.7836134903934795</v>
      </c>
      <c r="X1483" s="6">
        <f t="shared" si="139"/>
        <v>0.74354808874691691</v>
      </c>
      <c r="Y1483" s="6">
        <f t="shared" si="140"/>
        <v>0.16014664684263635</v>
      </c>
      <c r="AA1483" s="6">
        <f t="shared" si="141"/>
        <v>8.085833025387716</v>
      </c>
      <c r="AB1483" s="6">
        <f t="shared" si="142"/>
        <v>0.91349673070636361</v>
      </c>
      <c r="AC1483" s="6">
        <f t="shared" si="143"/>
        <v>0.11811035279897221</v>
      </c>
      <c r="AE1483" s="6">
        <f t="shared" si="144"/>
        <v>8.085833025387716</v>
      </c>
      <c r="AF1483" s="6">
        <f t="shared" si="145"/>
        <v>0.91349673070636361</v>
      </c>
      <c r="AG1483" s="6">
        <f t="shared" si="146"/>
        <v>0.11811035279897221</v>
      </c>
      <c r="AI1483" s="6">
        <f t="shared" si="147"/>
        <v>8.085833025387716</v>
      </c>
      <c r="AJ1483" s="6">
        <f t="shared" si="148"/>
        <v>0.91349673070636361</v>
      </c>
      <c r="AK1483" s="6">
        <f t="shared" si="149"/>
        <v>0.11811035279897221</v>
      </c>
      <c r="AL1483" s="10"/>
    </row>
    <row r="1484" spans="1:38">
      <c r="A1484" s="11" t="s">
        <v>111</v>
      </c>
      <c r="C1484" s="6">
        <f t="shared" si="125"/>
        <v>9.2102266816245084</v>
      </c>
      <c r="D1484" s="6">
        <f t="shared" si="125"/>
        <v>0.92891983861297811</v>
      </c>
      <c r="E1484" s="6">
        <f t="shared" si="125"/>
        <v>1.4045414678019324E-2</v>
      </c>
      <c r="G1484" s="6">
        <f t="shared" si="126"/>
        <v>9.1070796460978301</v>
      </c>
      <c r="H1484" s="6">
        <f t="shared" si="127"/>
        <v>0.77093005883375265</v>
      </c>
      <c r="I1484" s="6">
        <f t="shared" si="128"/>
        <v>0.16604422194197158</v>
      </c>
      <c r="K1484" s="6">
        <f t="shared" si="129"/>
        <v>9.1070796460978301</v>
      </c>
      <c r="L1484" s="6">
        <f t="shared" si="130"/>
        <v>0.77093005883375265</v>
      </c>
      <c r="M1484" s="6">
        <f t="shared" si="131"/>
        <v>0.16604422194197158</v>
      </c>
      <c r="O1484" s="6">
        <f t="shared" si="132"/>
        <v>8.3836026537132291</v>
      </c>
      <c r="P1484" s="6">
        <f t="shared" si="133"/>
        <v>0.94713724506338159</v>
      </c>
      <c r="Q1484" s="6">
        <f t="shared" si="134"/>
        <v>0.12245989547984631</v>
      </c>
      <c r="S1484" s="6">
        <f t="shared" si="135"/>
        <v>8.3836026537132291</v>
      </c>
      <c r="T1484" s="6">
        <f t="shared" si="136"/>
        <v>0.94713724506338159</v>
      </c>
      <c r="U1484" s="6">
        <f t="shared" si="137"/>
        <v>0.12245989547984631</v>
      </c>
      <c r="W1484" s="6">
        <f t="shared" si="138"/>
        <v>9.1070796460978301</v>
      </c>
      <c r="X1484" s="6">
        <f t="shared" si="139"/>
        <v>0.77093005883375265</v>
      </c>
      <c r="Y1484" s="6">
        <f t="shared" si="140"/>
        <v>0.16604422194197158</v>
      </c>
      <c r="AA1484" s="6">
        <f t="shared" si="141"/>
        <v>8.3836026537132291</v>
      </c>
      <c r="AB1484" s="6">
        <f t="shared" si="142"/>
        <v>0.94713724506338159</v>
      </c>
      <c r="AC1484" s="6">
        <f t="shared" si="143"/>
        <v>0.12245989547984631</v>
      </c>
      <c r="AE1484" s="6">
        <f t="shared" si="144"/>
        <v>8.3836026537132291</v>
      </c>
      <c r="AF1484" s="6">
        <f t="shared" si="145"/>
        <v>0.94713724506338159</v>
      </c>
      <c r="AG1484" s="6">
        <f t="shared" si="146"/>
        <v>0.12245989547984631</v>
      </c>
      <c r="AI1484" s="6">
        <f t="shared" si="147"/>
        <v>8.3836026537132291</v>
      </c>
      <c r="AJ1484" s="6">
        <f t="shared" si="148"/>
        <v>0.94713724506338159</v>
      </c>
      <c r="AK1484" s="6">
        <f t="shared" si="149"/>
        <v>0.12245989547984631</v>
      </c>
      <c r="AL1484" s="10"/>
    </row>
    <row r="1485" spans="1:38">
      <c r="A1485" s="11" t="s">
        <v>102</v>
      </c>
      <c r="C1485" s="6">
        <f t="shared" si="125"/>
        <v>-8.4325219101767992</v>
      </c>
      <c r="D1485" s="6">
        <f t="shared" si="125"/>
        <v>-0.85048253019981268</v>
      </c>
      <c r="E1485" s="6">
        <f t="shared" si="125"/>
        <v>-1.2859430186036044E-2</v>
      </c>
      <c r="G1485" s="6">
        <f t="shared" si="126"/>
        <v>-8.3380845345165628</v>
      </c>
      <c r="H1485" s="6">
        <f t="shared" si="127"/>
        <v>-0.70583329130210692</v>
      </c>
      <c r="I1485" s="6">
        <f t="shared" si="128"/>
        <v>-0.15202356988427249</v>
      </c>
      <c r="K1485" s="6">
        <f t="shared" si="129"/>
        <v>-8.3380845345165628</v>
      </c>
      <c r="L1485" s="6">
        <f t="shared" si="130"/>
        <v>-0.70583329130210692</v>
      </c>
      <c r="M1485" s="6">
        <f t="shared" si="131"/>
        <v>-0.15202356988427249</v>
      </c>
      <c r="O1485" s="6">
        <f t="shared" si="132"/>
        <v>-7.6756974076108113</v>
      </c>
      <c r="P1485" s="6">
        <f t="shared" si="133"/>
        <v>-0.86716167223940099</v>
      </c>
      <c r="Q1485" s="6">
        <f t="shared" si="134"/>
        <v>-0.11211947191397745</v>
      </c>
      <c r="S1485" s="6">
        <f t="shared" si="135"/>
        <v>-7.6756974076108113</v>
      </c>
      <c r="T1485" s="6">
        <f t="shared" si="136"/>
        <v>-0.86716167223940099</v>
      </c>
      <c r="U1485" s="6">
        <f t="shared" si="137"/>
        <v>-0.11211947191397745</v>
      </c>
      <c r="W1485" s="6">
        <f t="shared" si="138"/>
        <v>-8.3380845345165628</v>
      </c>
      <c r="X1485" s="6">
        <f t="shared" si="139"/>
        <v>-0.70583329130210692</v>
      </c>
      <c r="Y1485" s="6">
        <f t="shared" si="140"/>
        <v>-0.15202356988427249</v>
      </c>
      <c r="AA1485" s="6">
        <f t="shared" si="141"/>
        <v>-7.6756974076108113</v>
      </c>
      <c r="AB1485" s="6">
        <f t="shared" si="142"/>
        <v>-0.86716167223940099</v>
      </c>
      <c r="AC1485" s="6">
        <f t="shared" si="143"/>
        <v>-0.11211947191397745</v>
      </c>
      <c r="AE1485" s="6">
        <f t="shared" si="144"/>
        <v>-7.6756974076108113</v>
      </c>
      <c r="AF1485" s="6">
        <f t="shared" si="145"/>
        <v>-0.86716167223940099</v>
      </c>
      <c r="AG1485" s="6">
        <f t="shared" si="146"/>
        <v>-0.11211947191397745</v>
      </c>
      <c r="AI1485" s="6">
        <f t="shared" si="147"/>
        <v>-7.6756974076108113</v>
      </c>
      <c r="AJ1485" s="6">
        <f t="shared" si="148"/>
        <v>-0.86716167223940099</v>
      </c>
      <c r="AK1485" s="6">
        <f t="shared" si="149"/>
        <v>-0.11211947191397745</v>
      </c>
      <c r="AL1485" s="10"/>
    </row>
    <row r="1486" spans="1:38">
      <c r="A1486" s="11" t="s">
        <v>104</v>
      </c>
      <c r="C1486" s="6">
        <f t="shared" si="125"/>
        <v>-8.4325219101767992</v>
      </c>
      <c r="D1486" s="6">
        <f t="shared" si="125"/>
        <v>-0.85048253019981268</v>
      </c>
      <c r="E1486" s="6">
        <f t="shared" si="125"/>
        <v>-1.2859430186036044E-2</v>
      </c>
      <c r="G1486" s="6">
        <f t="shared" si="126"/>
        <v>-8.3380845345165628</v>
      </c>
      <c r="H1486" s="6">
        <f t="shared" si="127"/>
        <v>-0.70583329130210692</v>
      </c>
      <c r="I1486" s="6">
        <f t="shared" si="128"/>
        <v>-0.15202356988427249</v>
      </c>
      <c r="K1486" s="6">
        <f t="shared" si="129"/>
        <v>-8.3380845345165628</v>
      </c>
      <c r="L1486" s="6">
        <f t="shared" si="130"/>
        <v>-0.70583329130210692</v>
      </c>
      <c r="M1486" s="6">
        <f t="shared" si="131"/>
        <v>-0.15202356988427249</v>
      </c>
      <c r="O1486" s="6">
        <f t="shared" si="132"/>
        <v>-7.6756974076108113</v>
      </c>
      <c r="P1486" s="6">
        <f t="shared" si="133"/>
        <v>-0.86716167223940099</v>
      </c>
      <c r="Q1486" s="6">
        <f t="shared" si="134"/>
        <v>-0.11211947191397745</v>
      </c>
      <c r="S1486" s="6">
        <f t="shared" si="135"/>
        <v>-7.6756974076108113</v>
      </c>
      <c r="T1486" s="6">
        <f t="shared" si="136"/>
        <v>-0.86716167223940099</v>
      </c>
      <c r="U1486" s="6">
        <f t="shared" si="137"/>
        <v>-0.11211947191397745</v>
      </c>
      <c r="W1486" s="6">
        <f t="shared" si="138"/>
        <v>-8.3380845345165628</v>
      </c>
      <c r="X1486" s="6">
        <f t="shared" si="139"/>
        <v>-0.70583329130210692</v>
      </c>
      <c r="Y1486" s="6">
        <f t="shared" si="140"/>
        <v>-0.15202356988427249</v>
      </c>
      <c r="AA1486" s="6">
        <f t="shared" si="141"/>
        <v>-7.6756974076108113</v>
      </c>
      <c r="AB1486" s="6">
        <f t="shared" si="142"/>
        <v>-0.86716167223940099</v>
      </c>
      <c r="AC1486" s="6">
        <f t="shared" si="143"/>
        <v>-0.11211947191397745</v>
      </c>
      <c r="AE1486" s="6">
        <f t="shared" si="144"/>
        <v>-7.6756974076108113</v>
      </c>
      <c r="AF1486" s="6">
        <f t="shared" si="145"/>
        <v>-0.86716167223940099</v>
      </c>
      <c r="AG1486" s="6">
        <f t="shared" si="146"/>
        <v>-0.11211947191397745</v>
      </c>
      <c r="AI1486" s="6">
        <f t="shared" si="147"/>
        <v>-7.6756974076108113</v>
      </c>
      <c r="AJ1486" s="6">
        <f t="shared" si="148"/>
        <v>-0.86716167223940099</v>
      </c>
      <c r="AK1486" s="6">
        <f t="shared" si="149"/>
        <v>-0.11211947191397745</v>
      </c>
      <c r="AL1486" s="10"/>
    </row>
    <row r="1487" spans="1:38">
      <c r="A1487" s="11" t="s">
        <v>113</v>
      </c>
      <c r="C1487" s="6">
        <f t="shared" si="125"/>
        <v>-8.4325219101767992</v>
      </c>
      <c r="D1487" s="6">
        <f t="shared" si="125"/>
        <v>-0.85048253019981268</v>
      </c>
      <c r="E1487" s="6">
        <f t="shared" si="125"/>
        <v>-1.2859430186036044E-2</v>
      </c>
      <c r="G1487" s="6">
        <f t="shared" si="126"/>
        <v>-8.3380845345165628</v>
      </c>
      <c r="H1487" s="6">
        <f t="shared" si="127"/>
        <v>-0.70583329130210692</v>
      </c>
      <c r="I1487" s="6">
        <f t="shared" si="128"/>
        <v>-0.15202356988427249</v>
      </c>
      <c r="K1487" s="6">
        <f t="shared" si="129"/>
        <v>-8.3380845345165628</v>
      </c>
      <c r="L1487" s="6">
        <f t="shared" si="130"/>
        <v>-0.70583329130210692</v>
      </c>
      <c r="M1487" s="6">
        <f t="shared" si="131"/>
        <v>-0.15202356988427249</v>
      </c>
      <c r="O1487" s="6">
        <f t="shared" si="132"/>
        <v>-7.6756974076108113</v>
      </c>
      <c r="P1487" s="6">
        <f t="shared" si="133"/>
        <v>-0.86716167223940099</v>
      </c>
      <c r="Q1487" s="6">
        <f t="shared" si="134"/>
        <v>-0.11211947191397745</v>
      </c>
      <c r="S1487" s="6">
        <f t="shared" si="135"/>
        <v>-7.6756974076108113</v>
      </c>
      <c r="T1487" s="6">
        <f t="shared" si="136"/>
        <v>-0.86716167223940099</v>
      </c>
      <c r="U1487" s="6">
        <f t="shared" si="137"/>
        <v>-0.11211947191397745</v>
      </c>
      <c r="W1487" s="6">
        <f t="shared" si="138"/>
        <v>-8.3380845345165628</v>
      </c>
      <c r="X1487" s="6">
        <f t="shared" si="139"/>
        <v>-0.70583329130210692</v>
      </c>
      <c r="Y1487" s="6">
        <f t="shared" si="140"/>
        <v>-0.15202356988427249</v>
      </c>
      <c r="AA1487" s="6">
        <f t="shared" si="141"/>
        <v>-7.6756974076108113</v>
      </c>
      <c r="AB1487" s="6">
        <f t="shared" si="142"/>
        <v>-0.86716167223940099</v>
      </c>
      <c r="AC1487" s="6">
        <f t="shared" si="143"/>
        <v>-0.11211947191397745</v>
      </c>
      <c r="AE1487" s="6">
        <f t="shared" si="144"/>
        <v>-7.6756974076108113</v>
      </c>
      <c r="AF1487" s="6">
        <f t="shared" si="145"/>
        <v>-0.86716167223940099</v>
      </c>
      <c r="AG1487" s="6">
        <f t="shared" si="146"/>
        <v>-0.11211947191397745</v>
      </c>
      <c r="AI1487" s="6">
        <f t="shared" si="147"/>
        <v>-7.6756974076108113</v>
      </c>
      <c r="AJ1487" s="6">
        <f t="shared" si="148"/>
        <v>-0.86716167223940099</v>
      </c>
      <c r="AK1487" s="6">
        <f t="shared" si="149"/>
        <v>-0.11211947191397745</v>
      </c>
      <c r="AL1487" s="10"/>
    </row>
    <row r="1489" spans="1:38" ht="21" customHeight="1">
      <c r="A1489" s="1" t="s">
        <v>1824</v>
      </c>
    </row>
    <row r="1490" spans="1:38">
      <c r="A1490" s="2" t="s">
        <v>255</v>
      </c>
    </row>
    <row r="1491" spans="1:38">
      <c r="A1491" s="12" t="s">
        <v>1800</v>
      </c>
    </row>
    <row r="1492" spans="1:38">
      <c r="A1492" s="2" t="s">
        <v>641</v>
      </c>
    </row>
    <row r="1494" spans="1:38">
      <c r="B1494" s="17" t="s">
        <v>60</v>
      </c>
      <c r="C1494" s="3" t="s">
        <v>233</v>
      </c>
      <c r="D1494" s="3" t="s">
        <v>234</v>
      </c>
      <c r="E1494" s="3" t="s">
        <v>235</v>
      </c>
      <c r="F1494" s="17" t="s">
        <v>61</v>
      </c>
      <c r="G1494" s="3" t="s">
        <v>233</v>
      </c>
      <c r="H1494" s="3" t="s">
        <v>234</v>
      </c>
      <c r="I1494" s="3" t="s">
        <v>235</v>
      </c>
      <c r="J1494" s="17" t="s">
        <v>62</v>
      </c>
      <c r="K1494" s="3" t="s">
        <v>233</v>
      </c>
      <c r="L1494" s="3" t="s">
        <v>234</v>
      </c>
      <c r="M1494" s="3" t="s">
        <v>235</v>
      </c>
      <c r="N1494" s="17" t="s">
        <v>63</v>
      </c>
      <c r="O1494" s="3" t="s">
        <v>233</v>
      </c>
      <c r="P1494" s="3" t="s">
        <v>234</v>
      </c>
      <c r="Q1494" s="3" t="s">
        <v>235</v>
      </c>
      <c r="R1494" s="17" t="s">
        <v>64</v>
      </c>
      <c r="S1494" s="3" t="s">
        <v>233</v>
      </c>
      <c r="T1494" s="3" t="s">
        <v>234</v>
      </c>
      <c r="U1494" s="3" t="s">
        <v>235</v>
      </c>
      <c r="V1494" s="17" t="s">
        <v>69</v>
      </c>
      <c r="W1494" s="3" t="s">
        <v>233</v>
      </c>
      <c r="X1494" s="3" t="s">
        <v>234</v>
      </c>
      <c r="Y1494" s="3" t="s">
        <v>235</v>
      </c>
      <c r="Z1494" s="17" t="s">
        <v>65</v>
      </c>
      <c r="AA1494" s="3" t="s">
        <v>233</v>
      </c>
      <c r="AB1494" s="3" t="s">
        <v>234</v>
      </c>
      <c r="AC1494" s="3" t="s">
        <v>235</v>
      </c>
      <c r="AD1494" s="17" t="s">
        <v>66</v>
      </c>
      <c r="AE1494" s="3" t="s">
        <v>233</v>
      </c>
      <c r="AF1494" s="3" t="s">
        <v>234</v>
      </c>
      <c r="AG1494" s="3" t="s">
        <v>235</v>
      </c>
      <c r="AH1494" s="17" t="s">
        <v>67</v>
      </c>
      <c r="AI1494" s="3" t="s">
        <v>233</v>
      </c>
      <c r="AJ1494" s="3" t="s">
        <v>234</v>
      </c>
      <c r="AK1494" s="3" t="s">
        <v>235</v>
      </c>
    </row>
    <row r="1495" spans="1:38">
      <c r="A1495" s="11" t="s">
        <v>1647</v>
      </c>
      <c r="C1495" s="7">
        <f>C$1480</f>
        <v>8.4325219101767992</v>
      </c>
      <c r="D1495" s="7">
        <f>D$1480</f>
        <v>0.85048253019981268</v>
      </c>
      <c r="E1495" s="7">
        <f>E$1480</f>
        <v>1.2859430186036044E-2</v>
      </c>
      <c r="G1495" s="7">
        <f>G$1480</f>
        <v>8.3380845345165628</v>
      </c>
      <c r="H1495" s="7">
        <f>H$1480</f>
        <v>0.70583329130210692</v>
      </c>
      <c r="I1495" s="7">
        <f>I$1480</f>
        <v>0.15202356988427249</v>
      </c>
      <c r="K1495" s="7">
        <f>K$1480</f>
        <v>8.3380845345165628</v>
      </c>
      <c r="L1495" s="7">
        <f>L$1480</f>
        <v>0.70583329130210692</v>
      </c>
      <c r="M1495" s="7">
        <f>M$1480</f>
        <v>0.15202356988427249</v>
      </c>
      <c r="O1495" s="7">
        <f>O$1480</f>
        <v>7.6756974076108113</v>
      </c>
      <c r="P1495" s="7">
        <f>P$1480</f>
        <v>0.86716167223940099</v>
      </c>
      <c r="Q1495" s="7">
        <f>Q$1480</f>
        <v>0.11211947191397745</v>
      </c>
      <c r="S1495" s="7">
        <f>S$1480</f>
        <v>7.6756974076108113</v>
      </c>
      <c r="T1495" s="7">
        <f>T$1480</f>
        <v>0.86716167223940099</v>
      </c>
      <c r="U1495" s="7">
        <f>U$1480</f>
        <v>0.11211947191397745</v>
      </c>
      <c r="W1495" s="7">
        <f>W$1480</f>
        <v>8.3380845345165628</v>
      </c>
      <c r="X1495" s="7">
        <f>X$1480</f>
        <v>0.70583329130210692</v>
      </c>
      <c r="Y1495" s="7">
        <f>Y$1480</f>
        <v>0.15202356988427249</v>
      </c>
      <c r="AA1495" s="7">
        <f>AA$1480</f>
        <v>7.6756974076108113</v>
      </c>
      <c r="AB1495" s="7">
        <f>AB$1480</f>
        <v>0.86716167223940099</v>
      </c>
      <c r="AC1495" s="7">
        <f>AC$1480</f>
        <v>0.11211947191397745</v>
      </c>
      <c r="AE1495" s="7">
        <f>AE$1480</f>
        <v>7.6756974076108113</v>
      </c>
      <c r="AF1495" s="7">
        <f>AF$1480</f>
        <v>0.86716167223940099</v>
      </c>
      <c r="AG1495" s="7">
        <f>AG$1480</f>
        <v>0.11211947191397745</v>
      </c>
      <c r="AI1495" s="7">
        <f>AI$1480</f>
        <v>7.6756974076108113</v>
      </c>
      <c r="AJ1495" s="7">
        <f>AJ$1480</f>
        <v>0.86716167223940099</v>
      </c>
      <c r="AK1495" s="7">
        <f>AK$1480</f>
        <v>0.11211947191397745</v>
      </c>
      <c r="AL1495" s="10"/>
    </row>
    <row r="1496" spans="1:38">
      <c r="A1496" s="11" t="s">
        <v>1646</v>
      </c>
      <c r="C1496" s="7">
        <f>C$1481</f>
        <v>8.4325219101767992</v>
      </c>
      <c r="D1496" s="7">
        <f>D$1481</f>
        <v>0.85048253019981268</v>
      </c>
      <c r="E1496" s="7">
        <f>E$1481</f>
        <v>1.2859430186036044E-2</v>
      </c>
      <c r="G1496" s="7">
        <f>G$1481</f>
        <v>8.3380845345165628</v>
      </c>
      <c r="H1496" s="7">
        <f>H$1481</f>
        <v>0.70583329130210692</v>
      </c>
      <c r="I1496" s="7">
        <f>I$1481</f>
        <v>0.15202356988427249</v>
      </c>
      <c r="K1496" s="7">
        <f>K$1481</f>
        <v>8.3380845345165628</v>
      </c>
      <c r="L1496" s="7">
        <f>L$1481</f>
        <v>0.70583329130210692</v>
      </c>
      <c r="M1496" s="7">
        <f>M$1481</f>
        <v>0.15202356988427249</v>
      </c>
      <c r="O1496" s="7">
        <f>O$1481</f>
        <v>7.6756974076108113</v>
      </c>
      <c r="P1496" s="7">
        <f>P$1481</f>
        <v>0.86716167223940099</v>
      </c>
      <c r="Q1496" s="7">
        <f>Q$1481</f>
        <v>0.11211947191397745</v>
      </c>
      <c r="S1496" s="7">
        <f>S$1481</f>
        <v>7.6756974076108113</v>
      </c>
      <c r="T1496" s="7">
        <f>T$1481</f>
        <v>0.86716167223940099</v>
      </c>
      <c r="U1496" s="7">
        <f>U$1481</f>
        <v>0.11211947191397745</v>
      </c>
      <c r="W1496" s="7">
        <f>W$1481</f>
        <v>8.3380845345165628</v>
      </c>
      <c r="X1496" s="7">
        <f>X$1481</f>
        <v>0.70583329130210692</v>
      </c>
      <c r="Y1496" s="7">
        <f>Y$1481</f>
        <v>0.15202356988427249</v>
      </c>
      <c r="AA1496" s="7">
        <f>AA$1481</f>
        <v>7.6756974076108113</v>
      </c>
      <c r="AB1496" s="7">
        <f>AB$1481</f>
        <v>0.86716167223940099</v>
      </c>
      <c r="AC1496" s="7">
        <f>AC$1481</f>
        <v>0.11211947191397745</v>
      </c>
      <c r="AE1496" s="7">
        <f>AE$1481</f>
        <v>7.6756974076108113</v>
      </c>
      <c r="AF1496" s="7">
        <f>AF$1481</f>
        <v>0.86716167223940099</v>
      </c>
      <c r="AG1496" s="7">
        <f>AG$1481</f>
        <v>0.11211947191397745</v>
      </c>
      <c r="AI1496" s="7">
        <f>AI$1481</f>
        <v>7.6756974076108113</v>
      </c>
      <c r="AJ1496" s="7">
        <f>AJ$1481</f>
        <v>0.86716167223940099</v>
      </c>
      <c r="AK1496" s="7">
        <f>AK$1481</f>
        <v>0.11211947191397745</v>
      </c>
      <c r="AL1496" s="10"/>
    </row>
    <row r="1498" spans="1:38" ht="21" customHeight="1">
      <c r="A1498" s="1" t="s">
        <v>1823</v>
      </c>
    </row>
    <row r="1499" spans="1:38">
      <c r="A1499" s="2" t="s">
        <v>255</v>
      </c>
    </row>
    <row r="1500" spans="1:38">
      <c r="A1500" s="12" t="s">
        <v>474</v>
      </c>
    </row>
    <row r="1501" spans="1:38">
      <c r="A1501" s="2" t="s">
        <v>641</v>
      </c>
    </row>
    <row r="1503" spans="1:38" ht="30">
      <c r="B1503" s="3" t="s">
        <v>1822</v>
      </c>
    </row>
    <row r="1504" spans="1:38">
      <c r="A1504" s="11" t="s">
        <v>129</v>
      </c>
      <c r="B1504" s="15">
        <f>B$1318</f>
        <v>3613.1440975729997</v>
      </c>
      <c r="C1504" s="10"/>
    </row>
    <row r="1505" spans="1:5">
      <c r="A1505" s="11" t="s">
        <v>130</v>
      </c>
      <c r="B1505" s="15">
        <f>B$1321</f>
        <v>2262.2093594051807</v>
      </c>
      <c r="C1505" s="10"/>
    </row>
    <row r="1507" spans="1:5" ht="21" customHeight="1">
      <c r="A1507" s="1" t="s">
        <v>1821</v>
      </c>
    </row>
    <row r="1508" spans="1:5">
      <c r="A1508" s="2" t="s">
        <v>255</v>
      </c>
    </row>
    <row r="1509" spans="1:5">
      <c r="A1509" s="12" t="s">
        <v>1817</v>
      </c>
    </row>
    <row r="1510" spans="1:5">
      <c r="A1510" s="2" t="s">
        <v>641</v>
      </c>
    </row>
    <row r="1512" spans="1:5">
      <c r="B1512" s="3" t="s">
        <v>233</v>
      </c>
      <c r="C1512" s="3" t="s">
        <v>234</v>
      </c>
      <c r="D1512" s="3" t="s">
        <v>235</v>
      </c>
    </row>
    <row r="1513" spans="1:5">
      <c r="A1513" s="11" t="s">
        <v>129</v>
      </c>
      <c r="B1513" s="24">
        <f>B$1242</f>
        <v>2.8375924531958633E-7</v>
      </c>
      <c r="C1513" s="24">
        <f>C$1242</f>
        <v>0.16926612955281603</v>
      </c>
      <c r="D1513" s="24">
        <f>D$1242</f>
        <v>0.83073358668793862</v>
      </c>
      <c r="E1513" s="10"/>
    </row>
    <row r="1514" spans="1:5">
      <c r="A1514" s="11" t="s">
        <v>130</v>
      </c>
      <c r="B1514" s="24">
        <f>B$1245</f>
        <v>8.9699691483682511E-5</v>
      </c>
      <c r="C1514" s="24">
        <f>C$1245</f>
        <v>0.17771579837582266</v>
      </c>
      <c r="D1514" s="24">
        <f>D$1245</f>
        <v>0.82219450193269372</v>
      </c>
      <c r="E1514" s="10"/>
    </row>
    <row r="1516" spans="1:5" ht="21" customHeight="1">
      <c r="A1516" s="1" t="s">
        <v>1820</v>
      </c>
    </row>
    <row r="1517" spans="1:5">
      <c r="A1517" s="2" t="s">
        <v>255</v>
      </c>
    </row>
    <row r="1518" spans="1:5">
      <c r="A1518" s="12" t="s">
        <v>474</v>
      </c>
    </row>
    <row r="1519" spans="1:5">
      <c r="A1519" s="2" t="s">
        <v>641</v>
      </c>
    </row>
    <row r="1521" spans="1:5" ht="30">
      <c r="B1521" s="3" t="s">
        <v>1819</v>
      </c>
    </row>
    <row r="1522" spans="1:5">
      <c r="A1522" s="11" t="s">
        <v>93</v>
      </c>
      <c r="B1522" s="15">
        <f>B$1317</f>
        <v>360428.16525546124</v>
      </c>
      <c r="C1522" s="10"/>
    </row>
    <row r="1523" spans="1:5">
      <c r="A1523" s="11" t="s">
        <v>95</v>
      </c>
      <c r="B1523" s="15">
        <f>B$1320</f>
        <v>299972.47315486672</v>
      </c>
      <c r="C1523" s="10"/>
    </row>
    <row r="1525" spans="1:5" ht="21" customHeight="1">
      <c r="A1525" s="1" t="s">
        <v>1818</v>
      </c>
    </row>
    <row r="1526" spans="1:5">
      <c r="A1526" s="2" t="s">
        <v>255</v>
      </c>
    </row>
    <row r="1527" spans="1:5">
      <c r="A1527" s="12" t="s">
        <v>1817</v>
      </c>
    </row>
    <row r="1528" spans="1:5">
      <c r="A1528" s="2" t="s">
        <v>641</v>
      </c>
    </row>
    <row r="1530" spans="1:5">
      <c r="B1530" s="3" t="s">
        <v>233</v>
      </c>
      <c r="C1530" s="3" t="s">
        <v>234</v>
      </c>
      <c r="D1530" s="3" t="s">
        <v>235</v>
      </c>
    </row>
    <row r="1531" spans="1:5">
      <c r="A1531" s="11" t="s">
        <v>92</v>
      </c>
      <c r="B1531" s="24">
        <f>B$1240</f>
        <v>0.11298330820969384</v>
      </c>
      <c r="C1531" s="24">
        <f>C$1240</f>
        <v>0.50223801835264836</v>
      </c>
      <c r="D1531" s="24">
        <f>D$1240</f>
        <v>0.38477867343765787</v>
      </c>
      <c r="E1531" s="10"/>
    </row>
    <row r="1532" spans="1:5">
      <c r="A1532" s="11" t="s">
        <v>94</v>
      </c>
      <c r="B1532" s="24">
        <f>B$1243</f>
        <v>7.120394655932534E-2</v>
      </c>
      <c r="C1532" s="24">
        <f>C$1243</f>
        <v>0.58452126520102887</v>
      </c>
      <c r="D1532" s="24">
        <f>D$1243</f>
        <v>0.34427478823964586</v>
      </c>
      <c r="E1532" s="10"/>
    </row>
    <row r="1534" spans="1:5" ht="21" customHeight="1">
      <c r="A1534" s="1" t="s">
        <v>1816</v>
      </c>
    </row>
    <row r="1535" spans="1:5">
      <c r="A1535" s="2" t="s">
        <v>255</v>
      </c>
    </row>
    <row r="1536" spans="1:5">
      <c r="A1536" s="12" t="s">
        <v>474</v>
      </c>
    </row>
    <row r="1537" spans="1:5">
      <c r="A1537" s="2" t="s">
        <v>641</v>
      </c>
    </row>
    <row r="1539" spans="1:5" ht="30">
      <c r="B1539" s="3" t="s">
        <v>1815</v>
      </c>
    </row>
    <row r="1540" spans="1:5">
      <c r="A1540" s="11" t="s">
        <v>92</v>
      </c>
      <c r="B1540" s="15">
        <f>B$1316</f>
        <v>3248330.6199235553</v>
      </c>
      <c r="C1540" s="10"/>
    </row>
    <row r="1541" spans="1:5">
      <c r="A1541" s="11" t="s">
        <v>94</v>
      </c>
      <c r="B1541" s="15">
        <f>B$1319</f>
        <v>824218.88200266846</v>
      </c>
      <c r="C1541" s="10"/>
    </row>
    <row r="1543" spans="1:5" ht="21" customHeight="1">
      <c r="A1543" s="1" t="s">
        <v>1814</v>
      </c>
    </row>
    <row r="1544" spans="1:5">
      <c r="A1544" s="2" t="s">
        <v>255</v>
      </c>
    </row>
    <row r="1545" spans="1:5">
      <c r="A1545" s="12" t="s">
        <v>1813</v>
      </c>
    </row>
    <row r="1546" spans="1:5">
      <c r="A1546" s="2" t="s">
        <v>641</v>
      </c>
    </row>
    <row r="1548" spans="1:5">
      <c r="B1548" s="3" t="s">
        <v>233</v>
      </c>
      <c r="C1548" s="3" t="s">
        <v>234</v>
      </c>
      <c r="D1548" s="3" t="s">
        <v>235</v>
      </c>
    </row>
    <row r="1549" spans="1:5">
      <c r="A1549" s="11" t="s">
        <v>93</v>
      </c>
      <c r="B1549" s="24">
        <f>B$1375</f>
        <v>6.4751882509877914E-2</v>
      </c>
      <c r="C1549" s="24">
        <f>C$1375</f>
        <v>0.29854717938721892</v>
      </c>
      <c r="D1549" s="24">
        <f>D$1375</f>
        <v>0.6367009381029034</v>
      </c>
      <c r="E1549" s="10"/>
    </row>
    <row r="1550" spans="1:5">
      <c r="A1550" s="11" t="s">
        <v>95</v>
      </c>
      <c r="B1550" s="24">
        <f>B$1376</f>
        <v>6.7549710272472821E-2</v>
      </c>
      <c r="C1550" s="24">
        <f>C$1376</f>
        <v>0.47053770138699064</v>
      </c>
      <c r="D1550" s="24">
        <f>D$1376</f>
        <v>0.46191258834053656</v>
      </c>
      <c r="E1550" s="10"/>
    </row>
    <row r="1552" spans="1:5" ht="21" customHeight="1">
      <c r="A1552" s="1" t="s">
        <v>1812</v>
      </c>
    </row>
    <row r="1553" spans="1:5">
      <c r="A1553" s="2" t="s">
        <v>255</v>
      </c>
    </row>
    <row r="1554" spans="1:5">
      <c r="A1554" s="12" t="s">
        <v>1785</v>
      </c>
    </row>
    <row r="1555" spans="1:5">
      <c r="A1555" s="12" t="s">
        <v>1811</v>
      </c>
    </row>
    <row r="1556" spans="1:5">
      <c r="A1556" s="12" t="s">
        <v>1783</v>
      </c>
    </row>
    <row r="1557" spans="1:5">
      <c r="A1557" s="12" t="s">
        <v>1810</v>
      </c>
    </row>
    <row r="1558" spans="1:5">
      <c r="A1558" s="12" t="s">
        <v>1781</v>
      </c>
    </row>
    <row r="1559" spans="1:5">
      <c r="A1559" s="12" t="s">
        <v>1809</v>
      </c>
    </row>
    <row r="1560" spans="1:5">
      <c r="A1560" s="2" t="s">
        <v>1796</v>
      </c>
    </row>
    <row r="1562" spans="1:5">
      <c r="B1562" s="3" t="s">
        <v>233</v>
      </c>
      <c r="C1562" s="3" t="s">
        <v>234</v>
      </c>
      <c r="D1562" s="3" t="s">
        <v>235</v>
      </c>
    </row>
    <row r="1563" spans="1:5">
      <c r="A1563" s="11" t="s">
        <v>1647</v>
      </c>
      <c r="B1563" s="24">
        <f t="shared" ref="B1563:D1564" si="150">($B1540*B1531+$B1522*B1549+$B1504*B1513)/($B1540+$B1522+$B1504)</f>
        <v>0.1080579603859104</v>
      </c>
      <c r="C1563" s="24">
        <f t="shared" si="150"/>
        <v>0.48158151004087174</v>
      </c>
      <c r="D1563" s="24">
        <f t="shared" si="150"/>
        <v>0.41036052957321789</v>
      </c>
      <c r="E1563" s="10"/>
    </row>
    <row r="1564" spans="1:5">
      <c r="A1564" s="11" t="s">
        <v>1646</v>
      </c>
      <c r="B1564" s="24">
        <f t="shared" si="150"/>
        <v>7.0088014530782353E-2</v>
      </c>
      <c r="C1564" s="24">
        <f t="shared" si="150"/>
        <v>0.553350685448042</v>
      </c>
      <c r="D1564" s="24">
        <f t="shared" si="150"/>
        <v>0.37656130002117599</v>
      </c>
      <c r="E1564" s="10"/>
    </row>
    <row r="1566" spans="1:5" ht="21" customHeight="1">
      <c r="A1566" s="1" t="s">
        <v>1808</v>
      </c>
    </row>
    <row r="1567" spans="1:5">
      <c r="A1567" s="2" t="s">
        <v>255</v>
      </c>
    </row>
    <row r="1568" spans="1:5">
      <c r="A1568" s="12" t="s">
        <v>1766</v>
      </c>
    </row>
    <row r="1569" spans="1:38">
      <c r="A1569" s="12" t="s">
        <v>1807</v>
      </c>
    </row>
    <row r="1570" spans="1:38">
      <c r="A1570" s="2" t="s">
        <v>268</v>
      </c>
    </row>
    <row r="1572" spans="1:38">
      <c r="B1572" s="3" t="s">
        <v>60</v>
      </c>
      <c r="C1572" s="3" t="s">
        <v>61</v>
      </c>
      <c r="D1572" s="3" t="s">
        <v>62</v>
      </c>
      <c r="E1572" s="3" t="s">
        <v>63</v>
      </c>
      <c r="F1572" s="3" t="s">
        <v>64</v>
      </c>
      <c r="G1572" s="3" t="s">
        <v>69</v>
      </c>
      <c r="H1572" s="3" t="s">
        <v>65</v>
      </c>
      <c r="I1572" s="3" t="s">
        <v>66</v>
      </c>
      <c r="J1572" s="3" t="s">
        <v>67</v>
      </c>
    </row>
    <row r="1573" spans="1:38">
      <c r="A1573" s="11" t="s">
        <v>1647</v>
      </c>
      <c r="B1573" s="6">
        <f>SUMPRODUCT($C1495:$E1495,$B1563:$D1563)</f>
        <v>1.3260547822613646</v>
      </c>
      <c r="C1573" s="6">
        <f>SUMPRODUCT($G1495:$I1495,$B1563:$D1563)</f>
        <v>1.303297143232871</v>
      </c>
      <c r="D1573" s="6">
        <f>SUMPRODUCT($K1495:$M1495,$B1563:$D1563)</f>
        <v>1.303297143232871</v>
      </c>
      <c r="E1573" s="6">
        <f>SUMPRODUCT($O1495:$Q1495,$B1563:$D1563)</f>
        <v>1.2930386398425515</v>
      </c>
      <c r="F1573" s="6">
        <f>SUMPRODUCT($S1495:$U1495,$B1563:$D1563)</f>
        <v>1.2930386398425515</v>
      </c>
      <c r="G1573" s="6">
        <f>SUMPRODUCT($W1495:$Y1495,$B1563:$D1563)</f>
        <v>1.303297143232871</v>
      </c>
      <c r="H1573" s="6">
        <f>SUMPRODUCT($AA1495:$AC1495,$B1563:$D1563)</f>
        <v>1.2930386398425515</v>
      </c>
      <c r="I1573" s="6">
        <f>SUMPRODUCT($AE1495:$AG1495,$B1563:$D1563)</f>
        <v>1.2930386398425515</v>
      </c>
      <c r="J1573" s="6">
        <f>SUMPRODUCT($AI1495:$AK1495,$B1563:$D1563)</f>
        <v>1.2930386398425515</v>
      </c>
      <c r="K1573" s="10"/>
    </row>
    <row r="1574" spans="1:38">
      <c r="A1574" s="11" t="s">
        <v>1646</v>
      </c>
      <c r="B1574" s="6">
        <f>SUMPRODUCT($C1496:$E1496,$B1564:$D1564)</f>
        <v>1.0664761729676488</v>
      </c>
      <c r="C1574" s="6">
        <f>SUMPRODUCT($G1496:$I1496,$B1564:$D1564)</f>
        <v>1.0322193186776385</v>
      </c>
      <c r="D1574" s="6">
        <f>SUMPRODUCT($K1496:$M1496,$B1564:$D1564)</f>
        <v>1.0322193186776385</v>
      </c>
      <c r="E1574" s="6">
        <f>SUMPRODUCT($O1496:$Q1496,$B1564:$D1564)</f>
        <v>1.0600387512680729</v>
      </c>
      <c r="F1574" s="6">
        <f>SUMPRODUCT($S1496:$U1496,$B1564:$D1564)</f>
        <v>1.0600387512680729</v>
      </c>
      <c r="G1574" s="6">
        <f>SUMPRODUCT($W1496:$Y1496,$B1564:$D1564)</f>
        <v>1.0322193186776385</v>
      </c>
      <c r="H1574" s="6">
        <f>SUMPRODUCT($AA1496:$AC1496,$B1564:$D1564)</f>
        <v>1.0600387512680729</v>
      </c>
      <c r="I1574" s="6">
        <f>SUMPRODUCT($AE1496:$AG1496,$B1564:$D1564)</f>
        <v>1.0600387512680729</v>
      </c>
      <c r="J1574" s="6">
        <f>SUMPRODUCT($AI1496:$AK1496,$B1564:$D1564)</f>
        <v>1.0600387512680729</v>
      </c>
      <c r="K1574" s="10"/>
    </row>
    <row r="1576" spans="1:38" ht="21" customHeight="1">
      <c r="A1576" s="1" t="s">
        <v>1806</v>
      </c>
    </row>
    <row r="1577" spans="1:38">
      <c r="A1577" s="2" t="s">
        <v>255</v>
      </c>
    </row>
    <row r="1578" spans="1:38">
      <c r="A1578" s="12" t="s">
        <v>1800</v>
      </c>
    </row>
    <row r="1579" spans="1:38">
      <c r="A1579" s="2" t="s">
        <v>641</v>
      </c>
    </row>
    <row r="1581" spans="1:38">
      <c r="B1581" s="17" t="s">
        <v>60</v>
      </c>
      <c r="C1581" s="3" t="s">
        <v>233</v>
      </c>
      <c r="D1581" s="3" t="s">
        <v>234</v>
      </c>
      <c r="E1581" s="3" t="s">
        <v>235</v>
      </c>
      <c r="F1581" s="17" t="s">
        <v>61</v>
      </c>
      <c r="G1581" s="3" t="s">
        <v>233</v>
      </c>
      <c r="H1581" s="3" t="s">
        <v>234</v>
      </c>
      <c r="I1581" s="3" t="s">
        <v>235</v>
      </c>
      <c r="J1581" s="17" t="s">
        <v>62</v>
      </c>
      <c r="K1581" s="3" t="s">
        <v>233</v>
      </c>
      <c r="L1581" s="3" t="s">
        <v>234</v>
      </c>
      <c r="M1581" s="3" t="s">
        <v>235</v>
      </c>
      <c r="N1581" s="17" t="s">
        <v>63</v>
      </c>
      <c r="O1581" s="3" t="s">
        <v>233</v>
      </c>
      <c r="P1581" s="3" t="s">
        <v>234</v>
      </c>
      <c r="Q1581" s="3" t="s">
        <v>235</v>
      </c>
      <c r="R1581" s="17" t="s">
        <v>64</v>
      </c>
      <c r="S1581" s="3" t="s">
        <v>233</v>
      </c>
      <c r="T1581" s="3" t="s">
        <v>234</v>
      </c>
      <c r="U1581" s="3" t="s">
        <v>235</v>
      </c>
      <c r="V1581" s="17" t="s">
        <v>69</v>
      </c>
      <c r="W1581" s="3" t="s">
        <v>233</v>
      </c>
      <c r="X1581" s="3" t="s">
        <v>234</v>
      </c>
      <c r="Y1581" s="3" t="s">
        <v>235</v>
      </c>
      <c r="Z1581" s="17" t="s">
        <v>65</v>
      </c>
      <c r="AA1581" s="3" t="s">
        <v>233</v>
      </c>
      <c r="AB1581" s="3" t="s">
        <v>234</v>
      </c>
      <c r="AC1581" s="3" t="s">
        <v>235</v>
      </c>
      <c r="AD1581" s="17" t="s">
        <v>66</v>
      </c>
      <c r="AE1581" s="3" t="s">
        <v>233</v>
      </c>
      <c r="AF1581" s="3" t="s">
        <v>234</v>
      </c>
      <c r="AG1581" s="3" t="s">
        <v>235</v>
      </c>
      <c r="AH1581" s="17" t="s">
        <v>67</v>
      </c>
      <c r="AI1581" s="3" t="s">
        <v>233</v>
      </c>
      <c r="AJ1581" s="3" t="s">
        <v>234</v>
      </c>
      <c r="AK1581" s="3" t="s">
        <v>235</v>
      </c>
    </row>
    <row r="1582" spans="1:38">
      <c r="A1582" s="11" t="s">
        <v>129</v>
      </c>
      <c r="C1582" s="7">
        <f>C$1473</f>
        <v>8.4325219101767992</v>
      </c>
      <c r="D1582" s="7">
        <f>D$1473</f>
        <v>0.85048253019981268</v>
      </c>
      <c r="E1582" s="7">
        <f>E$1473</f>
        <v>1.2859430186036044E-2</v>
      </c>
      <c r="G1582" s="7">
        <f>G$1473</f>
        <v>8.3380845345165628</v>
      </c>
      <c r="H1582" s="7">
        <f>H$1473</f>
        <v>0.70583329130210692</v>
      </c>
      <c r="I1582" s="7">
        <f>I$1473</f>
        <v>0.15202356988427249</v>
      </c>
      <c r="K1582" s="7">
        <f>K$1473</f>
        <v>8.3380845345165628</v>
      </c>
      <c r="L1582" s="7">
        <f>L$1473</f>
        <v>0.70583329130210692</v>
      </c>
      <c r="M1582" s="7">
        <f>M$1473</f>
        <v>0.15202356988427249</v>
      </c>
      <c r="O1582" s="7">
        <f>O$1473</f>
        <v>7.6756974076108113</v>
      </c>
      <c r="P1582" s="7">
        <f>P$1473</f>
        <v>0.86716167223940099</v>
      </c>
      <c r="Q1582" s="7">
        <f>Q$1473</f>
        <v>0.11211947191397745</v>
      </c>
      <c r="S1582" s="7">
        <f>S$1473</f>
        <v>7.6756974076108113</v>
      </c>
      <c r="T1582" s="7">
        <f>T$1473</f>
        <v>0.86716167223940099</v>
      </c>
      <c r="U1582" s="7">
        <f>U$1473</f>
        <v>0.11211947191397745</v>
      </c>
      <c r="W1582" s="7">
        <f>W$1473</f>
        <v>8.3380845345165628</v>
      </c>
      <c r="X1582" s="7">
        <f>X$1473</f>
        <v>0.70583329130210692</v>
      </c>
      <c r="Y1582" s="7">
        <f>Y$1473</f>
        <v>0.15202356988427249</v>
      </c>
      <c r="AA1582" s="7">
        <f>AA$1473</f>
        <v>7.6756974076108113</v>
      </c>
      <c r="AB1582" s="7">
        <f>AB$1473</f>
        <v>0.86716167223940099</v>
      </c>
      <c r="AC1582" s="7">
        <f>AC$1473</f>
        <v>0.11211947191397745</v>
      </c>
      <c r="AE1582" s="7">
        <f>AE$1473</f>
        <v>7.6756974076108113</v>
      </c>
      <c r="AF1582" s="7">
        <f>AF$1473</f>
        <v>0.86716167223940099</v>
      </c>
      <c r="AG1582" s="7">
        <f>AG$1473</f>
        <v>0.11211947191397745</v>
      </c>
      <c r="AI1582" s="7">
        <f>AI$1473</f>
        <v>7.6756974076108113</v>
      </c>
      <c r="AJ1582" s="7">
        <f>AJ$1473</f>
        <v>0.86716167223940099</v>
      </c>
      <c r="AK1582" s="7">
        <f>AK$1473</f>
        <v>0.11211947191397745</v>
      </c>
      <c r="AL1582" s="10"/>
    </row>
    <row r="1583" spans="1:38">
      <c r="A1583" s="11" t="s">
        <v>130</v>
      </c>
      <c r="C1583" s="7">
        <f>C$1476</f>
        <v>8.4325219101767992</v>
      </c>
      <c r="D1583" s="7">
        <f>D$1476</f>
        <v>0.85048253019981268</v>
      </c>
      <c r="E1583" s="7">
        <f>E$1476</f>
        <v>1.2859430186036044E-2</v>
      </c>
      <c r="G1583" s="7">
        <f>G$1476</f>
        <v>8.3380845345165628</v>
      </c>
      <c r="H1583" s="7">
        <f>H$1476</f>
        <v>0.70583329130210692</v>
      </c>
      <c r="I1583" s="7">
        <f>I$1476</f>
        <v>0.15202356988427249</v>
      </c>
      <c r="K1583" s="7">
        <f>K$1476</f>
        <v>8.3380845345165628</v>
      </c>
      <c r="L1583" s="7">
        <f>L$1476</f>
        <v>0.70583329130210692</v>
      </c>
      <c r="M1583" s="7">
        <f>M$1476</f>
        <v>0.15202356988427249</v>
      </c>
      <c r="O1583" s="7">
        <f>O$1476</f>
        <v>7.6756974076108113</v>
      </c>
      <c r="P1583" s="7">
        <f>P$1476</f>
        <v>0.86716167223940099</v>
      </c>
      <c r="Q1583" s="7">
        <f>Q$1476</f>
        <v>0.11211947191397745</v>
      </c>
      <c r="S1583" s="7">
        <f>S$1476</f>
        <v>7.6756974076108113</v>
      </c>
      <c r="T1583" s="7">
        <f>T$1476</f>
        <v>0.86716167223940099</v>
      </c>
      <c r="U1583" s="7">
        <f>U$1476</f>
        <v>0.11211947191397745</v>
      </c>
      <c r="W1583" s="7">
        <f>W$1476</f>
        <v>8.3380845345165628</v>
      </c>
      <c r="X1583" s="7">
        <f>X$1476</f>
        <v>0.70583329130210692</v>
      </c>
      <c r="Y1583" s="7">
        <f>Y$1476</f>
        <v>0.15202356988427249</v>
      </c>
      <c r="AA1583" s="7">
        <f>AA$1476</f>
        <v>7.6756974076108113</v>
      </c>
      <c r="AB1583" s="7">
        <f>AB$1476</f>
        <v>0.86716167223940099</v>
      </c>
      <c r="AC1583" s="7">
        <f>AC$1476</f>
        <v>0.11211947191397745</v>
      </c>
      <c r="AE1583" s="7">
        <f>AE$1476</f>
        <v>7.6756974076108113</v>
      </c>
      <c r="AF1583" s="7">
        <f>AF$1476</f>
        <v>0.86716167223940099</v>
      </c>
      <c r="AG1583" s="7">
        <f>AG$1476</f>
        <v>0.11211947191397745</v>
      </c>
      <c r="AI1583" s="7">
        <f>AI$1476</f>
        <v>7.6756974076108113</v>
      </c>
      <c r="AJ1583" s="7">
        <f>AJ$1476</f>
        <v>0.86716167223940099</v>
      </c>
      <c r="AK1583" s="7">
        <f>AK$1476</f>
        <v>0.11211947191397745</v>
      </c>
      <c r="AL1583" s="10"/>
    </row>
    <row r="1585" spans="1:11" ht="21" customHeight="1">
      <c r="A1585" s="1" t="s">
        <v>1805</v>
      </c>
    </row>
    <row r="1586" spans="1:11">
      <c r="A1586" s="2" t="s">
        <v>255</v>
      </c>
    </row>
    <row r="1587" spans="1:11">
      <c r="A1587" s="12" t="s">
        <v>1768</v>
      </c>
    </row>
    <row r="1588" spans="1:11">
      <c r="A1588" s="12" t="s">
        <v>1804</v>
      </c>
    </row>
    <row r="1589" spans="1:11">
      <c r="A1589" s="2" t="s">
        <v>268</v>
      </c>
    </row>
    <row r="1591" spans="1:11">
      <c r="B1591" s="3" t="s">
        <v>60</v>
      </c>
      <c r="C1591" s="3" t="s">
        <v>61</v>
      </c>
      <c r="D1591" s="3" t="s">
        <v>62</v>
      </c>
      <c r="E1591" s="3" t="s">
        <v>63</v>
      </c>
      <c r="F1591" s="3" t="s">
        <v>64</v>
      </c>
      <c r="G1591" s="3" t="s">
        <v>69</v>
      </c>
      <c r="H1591" s="3" t="s">
        <v>65</v>
      </c>
      <c r="I1591" s="3" t="s">
        <v>66</v>
      </c>
      <c r="J1591" s="3" t="s">
        <v>67</v>
      </c>
    </row>
    <row r="1592" spans="1:11">
      <c r="A1592" s="11" t="s">
        <v>129</v>
      </c>
      <c r="B1592" s="6">
        <f>SUMPRODUCT($C1582:$E1582,$B1513:$D1513)</f>
        <v>0.15464303950647051</v>
      </c>
      <c r="C1592" s="6">
        <f>SUMPRODUCT($G1582:$I1582,$B1513:$D1513)</f>
        <v>0.24576712080787408</v>
      </c>
      <c r="D1592" s="6">
        <f>SUMPRODUCT($K1582:$M1582,$B1513:$D1513)</f>
        <v>0.24576712080787408</v>
      </c>
      <c r="E1592" s="6">
        <f>SUMPRODUCT($O1582:$Q1582,$B1513:$D1513)</f>
        <v>0.23992468904727082</v>
      </c>
      <c r="F1592" s="6">
        <f>SUMPRODUCT($S1582:$U1582,$B1513:$D1513)</f>
        <v>0.23992468904727082</v>
      </c>
      <c r="G1592" s="6">
        <f>SUMPRODUCT($W1582:$Y1582,$B1513:$D1513)</f>
        <v>0.24576712080787408</v>
      </c>
      <c r="H1592" s="6">
        <f>SUMPRODUCT($AA1582:$AC1582,$B1513:$D1513)</f>
        <v>0.23992468904727082</v>
      </c>
      <c r="I1592" s="6">
        <f>SUMPRODUCT($AE1582:$AG1582,$B1513:$D1513)</f>
        <v>0.23992468904727082</v>
      </c>
      <c r="J1592" s="6">
        <f>SUMPRODUCT($AI1582:$AK1582,$B1513:$D1513)</f>
        <v>0.23992468904727082</v>
      </c>
      <c r="K1592" s="10"/>
    </row>
    <row r="1593" spans="1:11">
      <c r="A1593" s="11" t="s">
        <v>130</v>
      </c>
      <c r="B1593" s="6">
        <f>SUMPRODUCT($C1583:$E1583,$B1514:$D1514)</f>
        <v>0.1624735292698678</v>
      </c>
      <c r="C1593" s="6">
        <f>SUMPRODUCT($G1583:$I1583,$B1514:$D1514)</f>
        <v>0.25117859381732904</v>
      </c>
      <c r="D1593" s="6">
        <f>SUMPRODUCT($K1583:$M1583,$B1514:$D1514)</f>
        <v>0.25117859381732904</v>
      </c>
      <c r="E1593" s="6">
        <f>SUMPRODUCT($O1583:$Q1583,$B1514:$D1514)</f>
        <v>0.24698084995959274</v>
      </c>
      <c r="F1593" s="6">
        <f>SUMPRODUCT($S1583:$U1583,$B1514:$D1514)</f>
        <v>0.24698084995959274</v>
      </c>
      <c r="G1593" s="6">
        <f>SUMPRODUCT($W1583:$Y1583,$B1514:$D1514)</f>
        <v>0.25117859381732904</v>
      </c>
      <c r="H1593" s="6">
        <f>SUMPRODUCT($AA1583:$AC1583,$B1514:$D1514)</f>
        <v>0.24698084995959274</v>
      </c>
      <c r="I1593" s="6">
        <f>SUMPRODUCT($AE1583:$AG1583,$B1514:$D1514)</f>
        <v>0.24698084995959274</v>
      </c>
      <c r="J1593" s="6">
        <f>SUMPRODUCT($AI1583:$AK1583,$B1514:$D1514)</f>
        <v>0.24698084995959274</v>
      </c>
      <c r="K1593" s="10"/>
    </row>
    <row r="1595" spans="1:11" ht="21" customHeight="1">
      <c r="A1595" s="1" t="s">
        <v>1803</v>
      </c>
    </row>
    <row r="1596" spans="1:11">
      <c r="A1596" s="2" t="s">
        <v>255</v>
      </c>
    </row>
    <row r="1597" spans="1:11">
      <c r="A1597" s="12" t="s">
        <v>750</v>
      </c>
    </row>
    <row r="1598" spans="1:11">
      <c r="A1598" s="2" t="s">
        <v>641</v>
      </c>
    </row>
    <row r="1600" spans="1:11" ht="30">
      <c r="B1600" s="3" t="s">
        <v>1802</v>
      </c>
    </row>
    <row r="1601" spans="1:38">
      <c r="A1601" s="11" t="s">
        <v>92</v>
      </c>
      <c r="B1601" s="7">
        <f>B$914</f>
        <v>1.9489215874029309</v>
      </c>
      <c r="C1601" s="10"/>
    </row>
    <row r="1602" spans="1:38">
      <c r="A1602" s="11" t="s">
        <v>94</v>
      </c>
      <c r="B1602" s="7">
        <f>B$917</f>
        <v>1.5328184166472327</v>
      </c>
      <c r="C1602" s="10"/>
    </row>
    <row r="1604" spans="1:38" ht="21" customHeight="1">
      <c r="A1604" s="1" t="s">
        <v>1801</v>
      </c>
    </row>
    <row r="1605" spans="1:38">
      <c r="A1605" s="2" t="s">
        <v>255</v>
      </c>
    </row>
    <row r="1606" spans="1:38">
      <c r="A1606" s="12" t="s">
        <v>1800</v>
      </c>
    </row>
    <row r="1607" spans="1:38">
      <c r="A1607" s="2" t="s">
        <v>641</v>
      </c>
    </row>
    <row r="1609" spans="1:38">
      <c r="B1609" s="17" t="s">
        <v>60</v>
      </c>
      <c r="C1609" s="3" t="s">
        <v>233</v>
      </c>
      <c r="D1609" s="3" t="s">
        <v>234</v>
      </c>
      <c r="E1609" s="3" t="s">
        <v>235</v>
      </c>
      <c r="F1609" s="17" t="s">
        <v>61</v>
      </c>
      <c r="G1609" s="3" t="s">
        <v>233</v>
      </c>
      <c r="H1609" s="3" t="s">
        <v>234</v>
      </c>
      <c r="I1609" s="3" t="s">
        <v>235</v>
      </c>
      <c r="J1609" s="17" t="s">
        <v>62</v>
      </c>
      <c r="K1609" s="3" t="s">
        <v>233</v>
      </c>
      <c r="L1609" s="3" t="s">
        <v>234</v>
      </c>
      <c r="M1609" s="3" t="s">
        <v>235</v>
      </c>
      <c r="N1609" s="17" t="s">
        <v>63</v>
      </c>
      <c r="O1609" s="3" t="s">
        <v>233</v>
      </c>
      <c r="P1609" s="3" t="s">
        <v>234</v>
      </c>
      <c r="Q1609" s="3" t="s">
        <v>235</v>
      </c>
      <c r="R1609" s="17" t="s">
        <v>64</v>
      </c>
      <c r="S1609" s="3" t="s">
        <v>233</v>
      </c>
      <c r="T1609" s="3" t="s">
        <v>234</v>
      </c>
      <c r="U1609" s="3" t="s">
        <v>235</v>
      </c>
      <c r="V1609" s="17" t="s">
        <v>69</v>
      </c>
      <c r="W1609" s="3" t="s">
        <v>233</v>
      </c>
      <c r="X1609" s="3" t="s">
        <v>234</v>
      </c>
      <c r="Y1609" s="3" t="s">
        <v>235</v>
      </c>
      <c r="Z1609" s="17" t="s">
        <v>65</v>
      </c>
      <c r="AA1609" s="3" t="s">
        <v>233</v>
      </c>
      <c r="AB1609" s="3" t="s">
        <v>234</v>
      </c>
      <c r="AC1609" s="3" t="s">
        <v>235</v>
      </c>
      <c r="AD1609" s="17" t="s">
        <v>66</v>
      </c>
      <c r="AE1609" s="3" t="s">
        <v>233</v>
      </c>
      <c r="AF1609" s="3" t="s">
        <v>234</v>
      </c>
      <c r="AG1609" s="3" t="s">
        <v>235</v>
      </c>
      <c r="AH1609" s="17" t="s">
        <v>67</v>
      </c>
      <c r="AI1609" s="3" t="s">
        <v>233</v>
      </c>
      <c r="AJ1609" s="3" t="s">
        <v>234</v>
      </c>
      <c r="AK1609" s="3" t="s">
        <v>235</v>
      </c>
    </row>
    <row r="1610" spans="1:38">
      <c r="A1610" s="11" t="s">
        <v>93</v>
      </c>
      <c r="C1610" s="7">
        <f>C$1472</f>
        <v>11.212207865735948</v>
      </c>
      <c r="D1610" s="7">
        <f>D$1472</f>
        <v>1.1308345257032864</v>
      </c>
      <c r="E1610" s="7">
        <f>E$1472</f>
        <v>1.7098396638228555E-2</v>
      </c>
      <c r="G1610" s="7">
        <f>G$1472</f>
        <v>11.086640271903873</v>
      </c>
      <c r="H1610" s="7">
        <f>H$1472</f>
        <v>0.9385032929573317</v>
      </c>
      <c r="I1610" s="7">
        <f>I$1472</f>
        <v>0.20213642895805548</v>
      </c>
      <c r="K1610" s="7">
        <f>K$1472</f>
        <v>11.086640271903873</v>
      </c>
      <c r="L1610" s="7">
        <f>L$1472</f>
        <v>0.9385032929573317</v>
      </c>
      <c r="M1610" s="7">
        <f>M$1472</f>
        <v>0.20213642895805548</v>
      </c>
      <c r="O1610" s="7">
        <f>O$1472</f>
        <v>10.205904682531513</v>
      </c>
      <c r="P1610" s="7">
        <f>P$1472</f>
        <v>1.1530117592239375</v>
      </c>
      <c r="Q1610" s="7">
        <f>Q$1472</f>
        <v>0.14907839413721749</v>
      </c>
      <c r="S1610" s="7">
        <f>S$1472</f>
        <v>10.205904682531513</v>
      </c>
      <c r="T1610" s="7">
        <f>T$1472</f>
        <v>1.1530117592239375</v>
      </c>
      <c r="U1610" s="7">
        <f>U$1472</f>
        <v>0.14907839413721749</v>
      </c>
      <c r="W1610" s="7">
        <f>W$1472</f>
        <v>11.086640271903873</v>
      </c>
      <c r="X1610" s="7">
        <f>X$1472</f>
        <v>0.9385032929573317</v>
      </c>
      <c r="Y1610" s="7">
        <f>Y$1472</f>
        <v>0.20213642895805548</v>
      </c>
      <c r="AA1610" s="7">
        <f>AA$1472</f>
        <v>10.205904682531513</v>
      </c>
      <c r="AB1610" s="7">
        <f>AB$1472</f>
        <v>1.1530117592239375</v>
      </c>
      <c r="AC1610" s="7">
        <f>AC$1472</f>
        <v>0.14907839413721749</v>
      </c>
      <c r="AE1610" s="7">
        <f>AE$1472</f>
        <v>10.205904682531513</v>
      </c>
      <c r="AF1610" s="7">
        <f>AF$1472</f>
        <v>1.1530117592239375</v>
      </c>
      <c r="AG1610" s="7">
        <f>AG$1472</f>
        <v>0.14907839413721749</v>
      </c>
      <c r="AI1610" s="7">
        <f>AI$1472</f>
        <v>10.205904682531513</v>
      </c>
      <c r="AJ1610" s="7">
        <f>AJ$1472</f>
        <v>1.1530117592239375</v>
      </c>
      <c r="AK1610" s="7">
        <f>AK$1472</f>
        <v>0.14907839413721749</v>
      </c>
      <c r="AL1610" s="10"/>
    </row>
    <row r="1611" spans="1:38">
      <c r="A1611" s="11" t="s">
        <v>95</v>
      </c>
      <c r="C1611" s="7">
        <f>C$1475</f>
        <v>12.263411036360916</v>
      </c>
      <c r="D1611" s="7">
        <f>D$1475</f>
        <v>1.2368561811262297</v>
      </c>
      <c r="E1611" s="7">
        <f>E$1475</f>
        <v>1.8701460813807799E-2</v>
      </c>
      <c r="G1611" s="7">
        <f>G$1475</f>
        <v>12.126070823402912</v>
      </c>
      <c r="H1611" s="7">
        <f>H$1475</f>
        <v>1.0264928886741218</v>
      </c>
      <c r="I1611" s="7">
        <f>I$1475</f>
        <v>0.22108777712819294</v>
      </c>
      <c r="K1611" s="7">
        <f>K$1475</f>
        <v>12.126070823402912</v>
      </c>
      <c r="L1611" s="7">
        <f>L$1475</f>
        <v>1.0264928886741218</v>
      </c>
      <c r="M1611" s="7">
        <f>M$1475</f>
        <v>0.22108777712819294</v>
      </c>
      <c r="O1611" s="7">
        <f>O$1475</f>
        <v>11.16276166287337</v>
      </c>
      <c r="P1611" s="7">
        <f>P$1475</f>
        <v>1.2611126463621476</v>
      </c>
      <c r="Q1611" s="7">
        <f>Q$1475</f>
        <v>0.16305527384416846</v>
      </c>
      <c r="S1611" s="7">
        <f>S$1475</f>
        <v>11.16276166287337</v>
      </c>
      <c r="T1611" s="7">
        <f>T$1475</f>
        <v>1.2611126463621476</v>
      </c>
      <c r="U1611" s="7">
        <f>U$1475</f>
        <v>0.16305527384416846</v>
      </c>
      <c r="W1611" s="7">
        <f>W$1475</f>
        <v>12.126070823402912</v>
      </c>
      <c r="X1611" s="7">
        <f>X$1475</f>
        <v>1.0264928886741218</v>
      </c>
      <c r="Y1611" s="7">
        <f>Y$1475</f>
        <v>0.22108777712819294</v>
      </c>
      <c r="AA1611" s="7">
        <f>AA$1475</f>
        <v>11.16276166287337</v>
      </c>
      <c r="AB1611" s="7">
        <f>AB$1475</f>
        <v>1.2611126463621476</v>
      </c>
      <c r="AC1611" s="7">
        <f>AC$1475</f>
        <v>0.16305527384416846</v>
      </c>
      <c r="AE1611" s="7">
        <f>AE$1475</f>
        <v>11.16276166287337</v>
      </c>
      <c r="AF1611" s="7">
        <f>AF$1475</f>
        <v>1.2611126463621476</v>
      </c>
      <c r="AG1611" s="7">
        <f>AG$1475</f>
        <v>0.16305527384416846</v>
      </c>
      <c r="AI1611" s="7">
        <f>AI$1475</f>
        <v>11.16276166287337</v>
      </c>
      <c r="AJ1611" s="7">
        <f>AJ$1475</f>
        <v>1.2611126463621476</v>
      </c>
      <c r="AK1611" s="7">
        <f>AK$1475</f>
        <v>0.16305527384416846</v>
      </c>
      <c r="AL1611" s="10"/>
    </row>
    <row r="1613" spans="1:38" ht="21" customHeight="1">
      <c r="A1613" s="1" t="s">
        <v>1799</v>
      </c>
    </row>
    <row r="1614" spans="1:38">
      <c r="A1614" s="2" t="s">
        <v>255</v>
      </c>
    </row>
    <row r="1615" spans="1:38">
      <c r="A1615" s="12" t="s">
        <v>1770</v>
      </c>
    </row>
    <row r="1616" spans="1:38">
      <c r="A1616" s="12" t="s">
        <v>1798</v>
      </c>
    </row>
    <row r="1617" spans="1:11">
      <c r="A1617" s="2" t="s">
        <v>268</v>
      </c>
    </row>
    <row r="1619" spans="1:11">
      <c r="B1619" s="3" t="s">
        <v>60</v>
      </c>
      <c r="C1619" s="3" t="s">
        <v>61</v>
      </c>
      <c r="D1619" s="3" t="s">
        <v>62</v>
      </c>
      <c r="E1619" s="3" t="s">
        <v>63</v>
      </c>
      <c r="F1619" s="3" t="s">
        <v>64</v>
      </c>
      <c r="G1619" s="3" t="s">
        <v>69</v>
      </c>
      <c r="H1619" s="3" t="s">
        <v>65</v>
      </c>
      <c r="I1619" s="3" t="s">
        <v>66</v>
      </c>
      <c r="J1619" s="3" t="s">
        <v>67</v>
      </c>
    </row>
    <row r="1620" spans="1:11">
      <c r="A1620" s="11" t="s">
        <v>93</v>
      </c>
      <c r="B1620" s="6">
        <f>SUMPRODUCT($C1610:$E1610,$B1549:$D1549)</f>
        <v>1.0745055895804785</v>
      </c>
      <c r="C1620" s="6">
        <f>SUMPRODUCT($G1610:$I1610,$B1549:$D1549)</f>
        <v>1.1267687932159935</v>
      </c>
      <c r="D1620" s="6">
        <f>SUMPRODUCT($K1610:$M1610,$B1549:$D1549)</f>
        <v>1.1267687932159935</v>
      </c>
      <c r="E1620" s="6">
        <f>SUMPRODUCT($O1610:$Q1610,$B1549:$D1549)</f>
        <v>1.0999983028249358</v>
      </c>
      <c r="F1620" s="6">
        <f>SUMPRODUCT($S1610:$U1610,$B1549:$D1549)</f>
        <v>1.0999983028249358</v>
      </c>
      <c r="G1620" s="6">
        <f>SUMPRODUCT($W1610:$Y1610,$B1549:$D1549)</f>
        <v>1.1267687932159935</v>
      </c>
      <c r="H1620" s="6">
        <f>SUMPRODUCT($AA1610:$AC1610,$B1549:$D1549)</f>
        <v>1.0999983028249358</v>
      </c>
      <c r="I1620" s="6">
        <f>SUMPRODUCT($AE1610:$AG1610,$B1549:$D1549)</f>
        <v>1.0999983028249358</v>
      </c>
      <c r="J1620" s="6">
        <f>SUMPRODUCT($AI1610:$AK1610,$B1549:$D1549)</f>
        <v>1.0999983028249358</v>
      </c>
      <c r="K1620" s="10"/>
    </row>
    <row r="1621" spans="1:11">
      <c r="A1621" s="11" t="s">
        <v>95</v>
      </c>
      <c r="B1621" s="6">
        <f>SUMPRODUCT($C1611:$E1611,$B1550:$D1550)</f>
        <v>1.4190157670421082</v>
      </c>
      <c r="C1621" s="6">
        <f>SUMPRODUCT($G1611:$I1611,$B1550:$D1550)</f>
        <v>1.4042394025749052</v>
      </c>
      <c r="D1621" s="6">
        <f>SUMPRODUCT($K1611:$M1611,$B1550:$D1550)</f>
        <v>1.4042394025749052</v>
      </c>
      <c r="E1621" s="6">
        <f>SUMPRODUCT($O1611:$Q1611,$B1550:$D1550)</f>
        <v>1.4227596455610076</v>
      </c>
      <c r="F1621" s="6">
        <f>SUMPRODUCT($S1611:$U1611,$B1550:$D1550)</f>
        <v>1.4227596455610076</v>
      </c>
      <c r="G1621" s="6">
        <f>SUMPRODUCT($W1611:$Y1611,$B1550:$D1550)</f>
        <v>1.4042394025749052</v>
      </c>
      <c r="H1621" s="6">
        <f>SUMPRODUCT($AA1611:$AC1611,$B1550:$D1550)</f>
        <v>1.4227596455610076</v>
      </c>
      <c r="I1621" s="6">
        <f>SUMPRODUCT($AE1611:$AG1611,$B1550:$D1550)</f>
        <v>1.4227596455610076</v>
      </c>
      <c r="J1621" s="6">
        <f>SUMPRODUCT($AI1611:$AK1611,$B1550:$D1550)</f>
        <v>1.4227596455610076</v>
      </c>
      <c r="K1621" s="10"/>
    </row>
    <row r="1623" spans="1:11" ht="21" customHeight="1">
      <c r="A1623" s="1" t="s">
        <v>1797</v>
      </c>
    </row>
    <row r="1624" spans="1:11">
      <c r="A1624" s="2" t="s">
        <v>255</v>
      </c>
    </row>
    <row r="1625" spans="1:11">
      <c r="A1625" s="12" t="s">
        <v>1785</v>
      </c>
    </row>
    <row r="1626" spans="1:11">
      <c r="A1626" s="12" t="s">
        <v>1784</v>
      </c>
    </row>
    <row r="1627" spans="1:11">
      <c r="A1627" s="12" t="s">
        <v>1783</v>
      </c>
    </row>
    <row r="1628" spans="1:11">
      <c r="A1628" s="12" t="s">
        <v>1782</v>
      </c>
    </row>
    <row r="1629" spans="1:11">
      <c r="A1629" s="12" t="s">
        <v>1781</v>
      </c>
    </row>
    <row r="1630" spans="1:11">
      <c r="A1630" s="12" t="s">
        <v>1780</v>
      </c>
    </row>
    <row r="1631" spans="1:11">
      <c r="A1631" s="2" t="s">
        <v>1796</v>
      </c>
    </row>
    <row r="1633" spans="1:11">
      <c r="B1633" s="3" t="s">
        <v>60</v>
      </c>
      <c r="C1633" s="3" t="s">
        <v>61</v>
      </c>
      <c r="D1633" s="3" t="s">
        <v>62</v>
      </c>
      <c r="E1633" s="3" t="s">
        <v>63</v>
      </c>
      <c r="F1633" s="3" t="s">
        <v>64</v>
      </c>
      <c r="G1633" s="3" t="s">
        <v>69</v>
      </c>
      <c r="H1633" s="3" t="s">
        <v>65</v>
      </c>
      <c r="I1633" s="3" t="s">
        <v>66</v>
      </c>
      <c r="J1633" s="3" t="s">
        <v>67</v>
      </c>
    </row>
    <row r="1634" spans="1:11">
      <c r="A1634" s="11" t="s">
        <v>1775</v>
      </c>
      <c r="B1634" s="6">
        <f t="shared" ref="B1634:J1634" si="151">($B1540*$B1601+$B1522*B1620+$B1504*B1592)/($B1540+$B1522+$B1504)</f>
        <v>1.8598811599477443</v>
      </c>
      <c r="C1634" s="6">
        <f t="shared" si="151"/>
        <v>1.8651869189915149</v>
      </c>
      <c r="D1634" s="6">
        <f t="shared" si="151"/>
        <v>1.8651869189915149</v>
      </c>
      <c r="E1634" s="6">
        <f t="shared" si="151"/>
        <v>1.8625100217971535</v>
      </c>
      <c r="F1634" s="6">
        <f t="shared" si="151"/>
        <v>1.8625100217971535</v>
      </c>
      <c r="G1634" s="6">
        <f t="shared" si="151"/>
        <v>1.8651869189915149</v>
      </c>
      <c r="H1634" s="6">
        <f t="shared" si="151"/>
        <v>1.8625100217971535</v>
      </c>
      <c r="I1634" s="6">
        <f t="shared" si="151"/>
        <v>1.8625100217971535</v>
      </c>
      <c r="J1634" s="6">
        <f t="shared" si="151"/>
        <v>1.8625100217971535</v>
      </c>
      <c r="K1634" s="10"/>
    </row>
    <row r="1635" spans="1:11">
      <c r="A1635" s="11" t="s">
        <v>1774</v>
      </c>
      <c r="B1635" s="6">
        <f t="shared" ref="B1635:J1635" si="152">($B1541*$B1602+$B1523*B1621+$B1505*B1593)/($B1541+$B1523+$B1505)</f>
        <v>1.4997609782792052</v>
      </c>
      <c r="C1635" s="6">
        <f t="shared" si="152"/>
        <v>1.496004202767528</v>
      </c>
      <c r="D1635" s="6">
        <f t="shared" si="152"/>
        <v>1.496004202767528</v>
      </c>
      <c r="E1635" s="6">
        <f t="shared" si="152"/>
        <v>1.5009276786135166</v>
      </c>
      <c r="F1635" s="6">
        <f t="shared" si="152"/>
        <v>1.5009276786135166</v>
      </c>
      <c r="G1635" s="6">
        <f t="shared" si="152"/>
        <v>1.496004202767528</v>
      </c>
      <c r="H1635" s="6">
        <f t="shared" si="152"/>
        <v>1.5009276786135166</v>
      </c>
      <c r="I1635" s="6">
        <f t="shared" si="152"/>
        <v>1.5009276786135166</v>
      </c>
      <c r="J1635" s="6">
        <f t="shared" si="152"/>
        <v>1.5009276786135166</v>
      </c>
      <c r="K1635" s="10"/>
    </row>
    <row r="1637" spans="1:11" ht="21" customHeight="1">
      <c r="A1637" s="1" t="s">
        <v>1795</v>
      </c>
    </row>
    <row r="1638" spans="1:11">
      <c r="A1638" s="2" t="s">
        <v>255</v>
      </c>
    </row>
    <row r="1639" spans="1:11">
      <c r="A1639" s="12" t="s">
        <v>1794</v>
      </c>
    </row>
    <row r="1640" spans="1:11">
      <c r="A1640" s="12" t="s">
        <v>1793</v>
      </c>
    </row>
    <row r="1641" spans="1:11">
      <c r="A1641" s="2" t="s">
        <v>332</v>
      </c>
    </row>
    <row r="1643" spans="1:11">
      <c r="B1643" s="3" t="s">
        <v>60</v>
      </c>
      <c r="C1643" s="3" t="s">
        <v>61</v>
      </c>
      <c r="D1643" s="3" t="s">
        <v>62</v>
      </c>
      <c r="E1643" s="3" t="s">
        <v>63</v>
      </c>
      <c r="F1643" s="3" t="s">
        <v>64</v>
      </c>
      <c r="G1643" s="3" t="s">
        <v>69</v>
      </c>
      <c r="H1643" s="3" t="s">
        <v>65</v>
      </c>
      <c r="I1643" s="3" t="s">
        <v>66</v>
      </c>
      <c r="J1643" s="3" t="s">
        <v>67</v>
      </c>
    </row>
    <row r="1644" spans="1:11">
      <c r="A1644" s="11" t="s">
        <v>1775</v>
      </c>
      <c r="B1644" s="6">
        <f t="shared" ref="B1644:J1644" si="153">B1634/B1573</f>
        <v>1.4025673636016969</v>
      </c>
      <c r="C1644" s="6">
        <f t="shared" si="153"/>
        <v>1.4311294463247712</v>
      </c>
      <c r="D1644" s="6">
        <f t="shared" si="153"/>
        <v>1.4311294463247712</v>
      </c>
      <c r="E1644" s="6">
        <f t="shared" si="153"/>
        <v>1.4404132749071941</v>
      </c>
      <c r="F1644" s="6">
        <f t="shared" si="153"/>
        <v>1.4404132749071941</v>
      </c>
      <c r="G1644" s="6">
        <f t="shared" si="153"/>
        <v>1.4311294463247712</v>
      </c>
      <c r="H1644" s="6">
        <f t="shared" si="153"/>
        <v>1.4404132749071941</v>
      </c>
      <c r="I1644" s="6">
        <f t="shared" si="153"/>
        <v>1.4404132749071941</v>
      </c>
      <c r="J1644" s="6">
        <f t="shared" si="153"/>
        <v>1.4404132749071941</v>
      </c>
      <c r="K1644" s="10"/>
    </row>
    <row r="1645" spans="1:11">
      <c r="A1645" s="11" t="s">
        <v>1774</v>
      </c>
      <c r="B1645" s="6">
        <f t="shared" ref="B1645:J1645" si="154">B1635/B1574</f>
        <v>1.4062770611235211</v>
      </c>
      <c r="C1645" s="6">
        <f t="shared" si="154"/>
        <v>1.449308471269495</v>
      </c>
      <c r="D1645" s="6">
        <f t="shared" si="154"/>
        <v>1.449308471269495</v>
      </c>
      <c r="E1645" s="6">
        <f t="shared" si="154"/>
        <v>1.4159177452881131</v>
      </c>
      <c r="F1645" s="6">
        <f t="shared" si="154"/>
        <v>1.4159177452881131</v>
      </c>
      <c r="G1645" s="6">
        <f t="shared" si="154"/>
        <v>1.449308471269495</v>
      </c>
      <c r="H1645" s="6">
        <f t="shared" si="154"/>
        <v>1.4159177452881131</v>
      </c>
      <c r="I1645" s="6">
        <f t="shared" si="154"/>
        <v>1.4159177452881131</v>
      </c>
      <c r="J1645" s="6">
        <f t="shared" si="154"/>
        <v>1.4159177452881131</v>
      </c>
      <c r="K1645" s="10"/>
    </row>
    <row r="1647" spans="1:11" ht="21" customHeight="1">
      <c r="A1647" s="1" t="s">
        <v>1792</v>
      </c>
    </row>
    <row r="1648" spans="1:11">
      <c r="A1648" s="2" t="s">
        <v>255</v>
      </c>
    </row>
    <row r="1649" spans="1:5">
      <c r="A1649" s="12" t="s">
        <v>474</v>
      </c>
    </row>
    <row r="1650" spans="1:5">
      <c r="A1650" s="2" t="s">
        <v>641</v>
      </c>
    </row>
    <row r="1652" spans="1:5" ht="30">
      <c r="B1652" s="3" t="s">
        <v>1791</v>
      </c>
    </row>
    <row r="1653" spans="1:5">
      <c r="A1653" s="11" t="s">
        <v>1647</v>
      </c>
      <c r="B1653" s="15">
        <f>B$1325</f>
        <v>0</v>
      </c>
      <c r="C1653" s="10"/>
    </row>
    <row r="1654" spans="1:5">
      <c r="A1654" s="11" t="s">
        <v>1646</v>
      </c>
      <c r="B1654" s="15">
        <f>B$1326</f>
        <v>0</v>
      </c>
      <c r="C1654" s="10"/>
    </row>
    <row r="1656" spans="1:5" ht="21" customHeight="1">
      <c r="A1656" s="1" t="s">
        <v>1790</v>
      </c>
    </row>
    <row r="1657" spans="1:5">
      <c r="A1657" s="2" t="s">
        <v>255</v>
      </c>
    </row>
    <row r="1658" spans="1:5">
      <c r="A1658" s="12" t="s">
        <v>1789</v>
      </c>
    </row>
    <row r="1659" spans="1:5">
      <c r="A1659" s="2" t="s">
        <v>641</v>
      </c>
    </row>
    <row r="1661" spans="1:5">
      <c r="B1661" s="3" t="s">
        <v>233</v>
      </c>
      <c r="C1661" s="3" t="s">
        <v>234</v>
      </c>
      <c r="D1661" s="3" t="s">
        <v>235</v>
      </c>
    </row>
    <row r="1662" spans="1:5">
      <c r="A1662" s="11" t="s">
        <v>1647</v>
      </c>
      <c r="B1662" s="24">
        <f>B$1398</f>
        <v>0</v>
      </c>
      <c r="C1662" s="24">
        <f>C$1398</f>
        <v>0</v>
      </c>
      <c r="D1662" s="24">
        <f>D$1398</f>
        <v>0</v>
      </c>
      <c r="E1662" s="10"/>
    </row>
    <row r="1663" spans="1:5">
      <c r="A1663" s="11" t="s">
        <v>1646</v>
      </c>
      <c r="B1663" s="24">
        <f>B$1399</f>
        <v>0</v>
      </c>
      <c r="C1663" s="24">
        <f>C$1399</f>
        <v>0</v>
      </c>
      <c r="D1663" s="24">
        <f>D$1399</f>
        <v>0</v>
      </c>
      <c r="E1663" s="10"/>
    </row>
    <row r="1665" spans="1:11" ht="21" customHeight="1">
      <c r="A1665" s="1" t="s">
        <v>1788</v>
      </c>
    </row>
    <row r="1666" spans="1:11">
      <c r="A1666" s="2" t="s">
        <v>255</v>
      </c>
    </row>
    <row r="1667" spans="1:11">
      <c r="A1667" s="12" t="s">
        <v>1766</v>
      </c>
    </row>
    <row r="1668" spans="1:11">
      <c r="A1668" s="12" t="s">
        <v>1787</v>
      </c>
    </row>
    <row r="1669" spans="1:11">
      <c r="A1669" s="2" t="s">
        <v>268</v>
      </c>
    </row>
    <row r="1671" spans="1:11">
      <c r="B1671" s="3" t="s">
        <v>60</v>
      </c>
      <c r="C1671" s="3" t="s">
        <v>61</v>
      </c>
      <c r="D1671" s="3" t="s">
        <v>62</v>
      </c>
      <c r="E1671" s="3" t="s">
        <v>63</v>
      </c>
      <c r="F1671" s="3" t="s">
        <v>64</v>
      </c>
      <c r="G1671" s="3" t="s">
        <v>69</v>
      </c>
      <c r="H1671" s="3" t="s">
        <v>65</v>
      </c>
      <c r="I1671" s="3" t="s">
        <v>66</v>
      </c>
      <c r="J1671" s="3" t="s">
        <v>67</v>
      </c>
    </row>
    <row r="1672" spans="1:11">
      <c r="A1672" s="11" t="s">
        <v>1647</v>
      </c>
      <c r="B1672" s="6">
        <f>SUMPRODUCT($C1495:$E1495,$B1662:$D1662)</f>
        <v>0</v>
      </c>
      <c r="C1672" s="6">
        <f>SUMPRODUCT($G1495:$I1495,$B1662:$D1662)</f>
        <v>0</v>
      </c>
      <c r="D1672" s="6">
        <f>SUMPRODUCT($K1495:$M1495,$B1662:$D1662)</f>
        <v>0</v>
      </c>
      <c r="E1672" s="6">
        <f>SUMPRODUCT($O1495:$Q1495,$B1662:$D1662)</f>
        <v>0</v>
      </c>
      <c r="F1672" s="6">
        <f>SUMPRODUCT($S1495:$U1495,$B1662:$D1662)</f>
        <v>0</v>
      </c>
      <c r="G1672" s="6">
        <f>SUMPRODUCT($W1495:$Y1495,$B1662:$D1662)</f>
        <v>0</v>
      </c>
      <c r="H1672" s="6">
        <f>SUMPRODUCT($AA1495:$AC1495,$B1662:$D1662)</f>
        <v>0</v>
      </c>
      <c r="I1672" s="6">
        <f>SUMPRODUCT($AE1495:$AG1495,$B1662:$D1662)</f>
        <v>0</v>
      </c>
      <c r="J1672" s="6">
        <f>SUMPRODUCT($AI1495:$AK1495,$B1662:$D1662)</f>
        <v>0</v>
      </c>
      <c r="K1672" s="10"/>
    </row>
    <row r="1673" spans="1:11">
      <c r="A1673" s="11" t="s">
        <v>1646</v>
      </c>
      <c r="B1673" s="6">
        <f>SUMPRODUCT($C1496:$E1496,$B1663:$D1663)</f>
        <v>0</v>
      </c>
      <c r="C1673" s="6">
        <f>SUMPRODUCT($G1496:$I1496,$B1663:$D1663)</f>
        <v>0</v>
      </c>
      <c r="D1673" s="6">
        <f>SUMPRODUCT($K1496:$M1496,$B1663:$D1663)</f>
        <v>0</v>
      </c>
      <c r="E1673" s="6">
        <f>SUMPRODUCT($O1496:$Q1496,$B1663:$D1663)</f>
        <v>0</v>
      </c>
      <c r="F1673" s="6">
        <f>SUMPRODUCT($S1496:$U1496,$B1663:$D1663)</f>
        <v>0</v>
      </c>
      <c r="G1673" s="6">
        <f>SUMPRODUCT($W1496:$Y1496,$B1663:$D1663)</f>
        <v>0</v>
      </c>
      <c r="H1673" s="6">
        <f>SUMPRODUCT($AA1496:$AC1496,$B1663:$D1663)</f>
        <v>0</v>
      </c>
      <c r="I1673" s="6">
        <f>SUMPRODUCT($AE1496:$AG1496,$B1663:$D1663)</f>
        <v>0</v>
      </c>
      <c r="J1673" s="6">
        <f>SUMPRODUCT($AI1496:$AK1496,$B1663:$D1663)</f>
        <v>0</v>
      </c>
      <c r="K1673" s="10"/>
    </row>
    <row r="1675" spans="1:11" ht="21" customHeight="1">
      <c r="A1675" s="1" t="s">
        <v>1786</v>
      </c>
    </row>
    <row r="1676" spans="1:11">
      <c r="A1676" s="2" t="s">
        <v>255</v>
      </c>
    </row>
    <row r="1677" spans="1:11">
      <c r="A1677" s="12" t="s">
        <v>1785</v>
      </c>
    </row>
    <row r="1678" spans="1:11">
      <c r="A1678" s="12" t="s">
        <v>1784</v>
      </c>
    </row>
    <row r="1679" spans="1:11">
      <c r="A1679" s="12" t="s">
        <v>1783</v>
      </c>
    </row>
    <row r="1680" spans="1:11">
      <c r="A1680" s="12" t="s">
        <v>1782</v>
      </c>
    </row>
    <row r="1681" spans="1:11">
      <c r="A1681" s="12" t="s">
        <v>1781</v>
      </c>
    </row>
    <row r="1682" spans="1:11">
      <c r="A1682" s="12" t="s">
        <v>1780</v>
      </c>
    </row>
    <row r="1683" spans="1:11">
      <c r="A1683" s="12" t="s">
        <v>1779</v>
      </c>
    </row>
    <row r="1684" spans="1:11">
      <c r="A1684" s="12" t="s">
        <v>1778</v>
      </c>
    </row>
    <row r="1685" spans="1:11">
      <c r="A1685" s="12" t="s">
        <v>1777</v>
      </c>
    </row>
    <row r="1686" spans="1:11">
      <c r="A1686" s="2" t="s">
        <v>1776</v>
      </c>
    </row>
    <row r="1688" spans="1:11">
      <c r="B1688" s="3" t="s">
        <v>60</v>
      </c>
      <c r="C1688" s="3" t="s">
        <v>61</v>
      </c>
      <c r="D1688" s="3" t="s">
        <v>62</v>
      </c>
      <c r="E1688" s="3" t="s">
        <v>63</v>
      </c>
      <c r="F1688" s="3" t="s">
        <v>64</v>
      </c>
      <c r="G1688" s="3" t="s">
        <v>69</v>
      </c>
      <c r="H1688" s="3" t="s">
        <v>65</v>
      </c>
      <c r="I1688" s="3" t="s">
        <v>66</v>
      </c>
      <c r="J1688" s="3" t="s">
        <v>67</v>
      </c>
    </row>
    <row r="1689" spans="1:11">
      <c r="A1689" s="11" t="s">
        <v>1775</v>
      </c>
      <c r="B1689" s="6">
        <f t="shared" ref="B1689:J1689" si="155">($B1540*$B1601+$B1522*B1620+$B1504*B1592+$B1653*B1672)/($B1540*$B1601+$B1522*B1620+$B1504*B1592+$B1653*B1672*B1644)</f>
        <v>1</v>
      </c>
      <c r="C1689" s="6">
        <f t="shared" si="155"/>
        <v>1</v>
      </c>
      <c r="D1689" s="6">
        <f t="shared" si="155"/>
        <v>1</v>
      </c>
      <c r="E1689" s="6">
        <f t="shared" si="155"/>
        <v>1</v>
      </c>
      <c r="F1689" s="6">
        <f t="shared" si="155"/>
        <v>1</v>
      </c>
      <c r="G1689" s="6">
        <f t="shared" si="155"/>
        <v>1</v>
      </c>
      <c r="H1689" s="6">
        <f t="shared" si="155"/>
        <v>1</v>
      </c>
      <c r="I1689" s="6">
        <f t="shared" si="155"/>
        <v>1</v>
      </c>
      <c r="J1689" s="6">
        <f t="shared" si="155"/>
        <v>1</v>
      </c>
      <c r="K1689" s="10"/>
    </row>
    <row r="1690" spans="1:11">
      <c r="A1690" s="11" t="s">
        <v>1774</v>
      </c>
      <c r="B1690" s="6">
        <f t="shared" ref="B1690:J1690" si="156">($B1541*$B1602+$B1523*B1621+$B1505*B1593+$B1654*B1673)/($B1541*$B1602+$B1523*B1621+$B1505*B1593+$B1654*B1673*B1645)</f>
        <v>1</v>
      </c>
      <c r="C1690" s="6">
        <f t="shared" si="156"/>
        <v>1</v>
      </c>
      <c r="D1690" s="6">
        <f t="shared" si="156"/>
        <v>1</v>
      </c>
      <c r="E1690" s="6">
        <f t="shared" si="156"/>
        <v>1</v>
      </c>
      <c r="F1690" s="6">
        <f t="shared" si="156"/>
        <v>1</v>
      </c>
      <c r="G1690" s="6">
        <f t="shared" si="156"/>
        <v>1</v>
      </c>
      <c r="H1690" s="6">
        <f t="shared" si="156"/>
        <v>1</v>
      </c>
      <c r="I1690" s="6">
        <f t="shared" si="156"/>
        <v>1</v>
      </c>
      <c r="J1690" s="6">
        <f t="shared" si="156"/>
        <v>1</v>
      </c>
      <c r="K1690" s="10"/>
    </row>
    <row r="1692" spans="1:11" ht="21" customHeight="1">
      <c r="A1692" s="1" t="s">
        <v>1773</v>
      </c>
    </row>
    <row r="1693" spans="1:11">
      <c r="A1693" s="2" t="s">
        <v>255</v>
      </c>
    </row>
    <row r="1694" spans="1:11">
      <c r="A1694" s="12" t="s">
        <v>1772</v>
      </c>
    </row>
    <row r="1695" spans="1:11">
      <c r="A1695" s="12" t="s">
        <v>1765</v>
      </c>
    </row>
    <row r="1696" spans="1:11">
      <c r="A1696" s="2" t="s">
        <v>597</v>
      </c>
    </row>
    <row r="1698" spans="1:38">
      <c r="B1698" s="17" t="s">
        <v>60</v>
      </c>
      <c r="C1698" s="3" t="s">
        <v>233</v>
      </c>
      <c r="D1698" s="3" t="s">
        <v>234</v>
      </c>
      <c r="E1698" s="3" t="s">
        <v>235</v>
      </c>
      <c r="F1698" s="17" t="s">
        <v>61</v>
      </c>
      <c r="G1698" s="3" t="s">
        <v>233</v>
      </c>
      <c r="H1698" s="3" t="s">
        <v>234</v>
      </c>
      <c r="I1698" s="3" t="s">
        <v>235</v>
      </c>
      <c r="J1698" s="17" t="s">
        <v>62</v>
      </c>
      <c r="K1698" s="3" t="s">
        <v>233</v>
      </c>
      <c r="L1698" s="3" t="s">
        <v>234</v>
      </c>
      <c r="M1698" s="3" t="s">
        <v>235</v>
      </c>
      <c r="N1698" s="17" t="s">
        <v>63</v>
      </c>
      <c r="O1698" s="3" t="s">
        <v>233</v>
      </c>
      <c r="P1698" s="3" t="s">
        <v>234</v>
      </c>
      <c r="Q1698" s="3" t="s">
        <v>235</v>
      </c>
      <c r="R1698" s="17" t="s">
        <v>64</v>
      </c>
      <c r="S1698" s="3" t="s">
        <v>233</v>
      </c>
      <c r="T1698" s="3" t="s">
        <v>234</v>
      </c>
      <c r="U1698" s="3" t="s">
        <v>235</v>
      </c>
      <c r="V1698" s="17" t="s">
        <v>69</v>
      </c>
      <c r="W1698" s="3" t="s">
        <v>233</v>
      </c>
      <c r="X1698" s="3" t="s">
        <v>234</v>
      </c>
      <c r="Y1698" s="3" t="s">
        <v>235</v>
      </c>
      <c r="Z1698" s="17" t="s">
        <v>65</v>
      </c>
      <c r="AA1698" s="3" t="s">
        <v>233</v>
      </c>
      <c r="AB1698" s="3" t="s">
        <v>234</v>
      </c>
      <c r="AC1698" s="3" t="s">
        <v>235</v>
      </c>
      <c r="AD1698" s="17" t="s">
        <v>66</v>
      </c>
      <c r="AE1698" s="3" t="s">
        <v>233</v>
      </c>
      <c r="AF1698" s="3" t="s">
        <v>234</v>
      </c>
      <c r="AG1698" s="3" t="s">
        <v>235</v>
      </c>
      <c r="AH1698" s="17" t="s">
        <v>67</v>
      </c>
      <c r="AI1698" s="3" t="s">
        <v>233</v>
      </c>
      <c r="AJ1698" s="3" t="s">
        <v>234</v>
      </c>
      <c r="AK1698" s="3" t="s">
        <v>235</v>
      </c>
    </row>
    <row r="1699" spans="1:38">
      <c r="A1699" s="11" t="s">
        <v>92</v>
      </c>
      <c r="C1699" s="6">
        <f t="shared" ref="C1699:E1700" si="157">$B1601*$B1689</f>
        <v>1.9489215874029309</v>
      </c>
      <c r="D1699" s="6">
        <f t="shared" si="157"/>
        <v>1.9489215874029309</v>
      </c>
      <c r="E1699" s="6">
        <f t="shared" si="157"/>
        <v>1.9489215874029309</v>
      </c>
      <c r="G1699" s="6">
        <f t="shared" ref="G1699:I1700" si="158">$B1601*$C1689</f>
        <v>1.9489215874029309</v>
      </c>
      <c r="H1699" s="6">
        <f t="shared" si="158"/>
        <v>1.9489215874029309</v>
      </c>
      <c r="I1699" s="6">
        <f t="shared" si="158"/>
        <v>1.9489215874029309</v>
      </c>
      <c r="K1699" s="6">
        <f t="shared" ref="K1699:M1700" si="159">$B1601*$D1689</f>
        <v>1.9489215874029309</v>
      </c>
      <c r="L1699" s="6">
        <f t="shared" si="159"/>
        <v>1.9489215874029309</v>
      </c>
      <c r="M1699" s="6">
        <f t="shared" si="159"/>
        <v>1.9489215874029309</v>
      </c>
      <c r="O1699" s="6">
        <f t="shared" ref="O1699:Q1700" si="160">$B1601*$E1689</f>
        <v>1.9489215874029309</v>
      </c>
      <c r="P1699" s="6">
        <f t="shared" si="160"/>
        <v>1.9489215874029309</v>
      </c>
      <c r="Q1699" s="6">
        <f t="shared" si="160"/>
        <v>1.9489215874029309</v>
      </c>
      <c r="S1699" s="6">
        <f t="shared" ref="S1699:U1700" si="161">$B1601*$F1689</f>
        <v>1.9489215874029309</v>
      </c>
      <c r="T1699" s="6">
        <f t="shared" si="161"/>
        <v>1.9489215874029309</v>
      </c>
      <c r="U1699" s="6">
        <f t="shared" si="161"/>
        <v>1.9489215874029309</v>
      </c>
      <c r="W1699" s="6">
        <f t="shared" ref="W1699:Y1700" si="162">$B1601*$G1689</f>
        <v>1.9489215874029309</v>
      </c>
      <c r="X1699" s="6">
        <f t="shared" si="162"/>
        <v>1.9489215874029309</v>
      </c>
      <c r="Y1699" s="6">
        <f t="shared" si="162"/>
        <v>1.9489215874029309</v>
      </c>
      <c r="AA1699" s="6">
        <f t="shared" ref="AA1699:AC1700" si="163">$B1601*$H1689</f>
        <v>1.9489215874029309</v>
      </c>
      <c r="AB1699" s="6">
        <f t="shared" si="163"/>
        <v>1.9489215874029309</v>
      </c>
      <c r="AC1699" s="6">
        <f t="shared" si="163"/>
        <v>1.9489215874029309</v>
      </c>
      <c r="AE1699" s="6">
        <f t="shared" ref="AE1699:AG1700" si="164">$B1601*$I1689</f>
        <v>1.9489215874029309</v>
      </c>
      <c r="AF1699" s="6">
        <f t="shared" si="164"/>
        <v>1.9489215874029309</v>
      </c>
      <c r="AG1699" s="6">
        <f t="shared" si="164"/>
        <v>1.9489215874029309</v>
      </c>
      <c r="AI1699" s="6">
        <f t="shared" ref="AI1699:AK1700" si="165">$B1601*$J1689</f>
        <v>1.9489215874029309</v>
      </c>
      <c r="AJ1699" s="6">
        <f t="shared" si="165"/>
        <v>1.9489215874029309</v>
      </c>
      <c r="AK1699" s="6">
        <f t="shared" si="165"/>
        <v>1.9489215874029309</v>
      </c>
      <c r="AL1699" s="10"/>
    </row>
    <row r="1700" spans="1:38">
      <c r="A1700" s="11" t="s">
        <v>94</v>
      </c>
      <c r="C1700" s="6">
        <f t="shared" si="157"/>
        <v>1.5328184166472327</v>
      </c>
      <c r="D1700" s="6">
        <f t="shared" si="157"/>
        <v>1.5328184166472327</v>
      </c>
      <c r="E1700" s="6">
        <f t="shared" si="157"/>
        <v>1.5328184166472327</v>
      </c>
      <c r="G1700" s="6">
        <f t="shared" si="158"/>
        <v>1.5328184166472327</v>
      </c>
      <c r="H1700" s="6">
        <f t="shared" si="158"/>
        <v>1.5328184166472327</v>
      </c>
      <c r="I1700" s="6">
        <f t="shared" si="158"/>
        <v>1.5328184166472327</v>
      </c>
      <c r="K1700" s="6">
        <f t="shared" si="159"/>
        <v>1.5328184166472327</v>
      </c>
      <c r="L1700" s="6">
        <f t="shared" si="159"/>
        <v>1.5328184166472327</v>
      </c>
      <c r="M1700" s="6">
        <f t="shared" si="159"/>
        <v>1.5328184166472327</v>
      </c>
      <c r="O1700" s="6">
        <f t="shared" si="160"/>
        <v>1.5328184166472327</v>
      </c>
      <c r="P1700" s="6">
        <f t="shared" si="160"/>
        <v>1.5328184166472327</v>
      </c>
      <c r="Q1700" s="6">
        <f t="shared" si="160"/>
        <v>1.5328184166472327</v>
      </c>
      <c r="S1700" s="6">
        <f t="shared" si="161"/>
        <v>1.5328184166472327</v>
      </c>
      <c r="T1700" s="6">
        <f t="shared" si="161"/>
        <v>1.5328184166472327</v>
      </c>
      <c r="U1700" s="6">
        <f t="shared" si="161"/>
        <v>1.5328184166472327</v>
      </c>
      <c r="W1700" s="6">
        <f t="shared" si="162"/>
        <v>1.5328184166472327</v>
      </c>
      <c r="X1700" s="6">
        <f t="shared" si="162"/>
        <v>1.5328184166472327</v>
      </c>
      <c r="Y1700" s="6">
        <f t="shared" si="162"/>
        <v>1.5328184166472327</v>
      </c>
      <c r="AA1700" s="6">
        <f t="shared" si="163"/>
        <v>1.5328184166472327</v>
      </c>
      <c r="AB1700" s="6">
        <f t="shared" si="163"/>
        <v>1.5328184166472327</v>
      </c>
      <c r="AC1700" s="6">
        <f t="shared" si="163"/>
        <v>1.5328184166472327</v>
      </c>
      <c r="AE1700" s="6">
        <f t="shared" si="164"/>
        <v>1.5328184166472327</v>
      </c>
      <c r="AF1700" s="6">
        <f t="shared" si="164"/>
        <v>1.5328184166472327</v>
      </c>
      <c r="AG1700" s="6">
        <f t="shared" si="164"/>
        <v>1.5328184166472327</v>
      </c>
      <c r="AI1700" s="6">
        <f t="shared" si="165"/>
        <v>1.5328184166472327</v>
      </c>
      <c r="AJ1700" s="6">
        <f t="shared" si="165"/>
        <v>1.5328184166472327</v>
      </c>
      <c r="AK1700" s="6">
        <f t="shared" si="165"/>
        <v>1.5328184166472327</v>
      </c>
      <c r="AL1700" s="10"/>
    </row>
    <row r="1702" spans="1:38" ht="21" customHeight="1">
      <c r="A1702" s="1" t="s">
        <v>1771</v>
      </c>
    </row>
    <row r="1703" spans="1:38">
      <c r="A1703" s="2" t="s">
        <v>255</v>
      </c>
    </row>
    <row r="1704" spans="1:38">
      <c r="A1704" s="12" t="s">
        <v>1770</v>
      </c>
    </row>
    <row r="1705" spans="1:38">
      <c r="A1705" s="12" t="s">
        <v>1765</v>
      </c>
    </row>
    <row r="1706" spans="1:38">
      <c r="A1706" s="2" t="s">
        <v>597</v>
      </c>
    </row>
    <row r="1708" spans="1:38">
      <c r="B1708" s="17" t="s">
        <v>60</v>
      </c>
      <c r="C1708" s="3" t="s">
        <v>233</v>
      </c>
      <c r="D1708" s="3" t="s">
        <v>234</v>
      </c>
      <c r="E1708" s="3" t="s">
        <v>235</v>
      </c>
      <c r="F1708" s="17" t="s">
        <v>61</v>
      </c>
      <c r="G1708" s="3" t="s">
        <v>233</v>
      </c>
      <c r="H1708" s="3" t="s">
        <v>234</v>
      </c>
      <c r="I1708" s="3" t="s">
        <v>235</v>
      </c>
      <c r="J1708" s="17" t="s">
        <v>62</v>
      </c>
      <c r="K1708" s="3" t="s">
        <v>233</v>
      </c>
      <c r="L1708" s="3" t="s">
        <v>234</v>
      </c>
      <c r="M1708" s="3" t="s">
        <v>235</v>
      </c>
      <c r="N1708" s="17" t="s">
        <v>63</v>
      </c>
      <c r="O1708" s="3" t="s">
        <v>233</v>
      </c>
      <c r="P1708" s="3" t="s">
        <v>234</v>
      </c>
      <c r="Q1708" s="3" t="s">
        <v>235</v>
      </c>
      <c r="R1708" s="17" t="s">
        <v>64</v>
      </c>
      <c r="S1708" s="3" t="s">
        <v>233</v>
      </c>
      <c r="T1708" s="3" t="s">
        <v>234</v>
      </c>
      <c r="U1708" s="3" t="s">
        <v>235</v>
      </c>
      <c r="V1708" s="17" t="s">
        <v>69</v>
      </c>
      <c r="W1708" s="3" t="s">
        <v>233</v>
      </c>
      <c r="X1708" s="3" t="s">
        <v>234</v>
      </c>
      <c r="Y1708" s="3" t="s">
        <v>235</v>
      </c>
      <c r="Z1708" s="17" t="s">
        <v>65</v>
      </c>
      <c r="AA1708" s="3" t="s">
        <v>233</v>
      </c>
      <c r="AB1708" s="3" t="s">
        <v>234</v>
      </c>
      <c r="AC1708" s="3" t="s">
        <v>235</v>
      </c>
      <c r="AD1708" s="17" t="s">
        <v>66</v>
      </c>
      <c r="AE1708" s="3" t="s">
        <v>233</v>
      </c>
      <c r="AF1708" s="3" t="s">
        <v>234</v>
      </c>
      <c r="AG1708" s="3" t="s">
        <v>235</v>
      </c>
      <c r="AH1708" s="17" t="s">
        <v>67</v>
      </c>
      <c r="AI1708" s="3" t="s">
        <v>233</v>
      </c>
      <c r="AJ1708" s="3" t="s">
        <v>234</v>
      </c>
      <c r="AK1708" s="3" t="s">
        <v>235</v>
      </c>
    </row>
    <row r="1709" spans="1:38">
      <c r="A1709" s="11" t="s">
        <v>93</v>
      </c>
      <c r="C1709" s="6">
        <f t="shared" ref="C1709:E1710" si="166">C1610*$B1689</f>
        <v>11.212207865735948</v>
      </c>
      <c r="D1709" s="6">
        <f t="shared" si="166"/>
        <v>1.1308345257032864</v>
      </c>
      <c r="E1709" s="6">
        <f t="shared" si="166"/>
        <v>1.7098396638228555E-2</v>
      </c>
      <c r="G1709" s="6">
        <f t="shared" ref="G1709:I1710" si="167">G1610*$C1689</f>
        <v>11.086640271903873</v>
      </c>
      <c r="H1709" s="6">
        <f t="shared" si="167"/>
        <v>0.9385032929573317</v>
      </c>
      <c r="I1709" s="6">
        <f t="shared" si="167"/>
        <v>0.20213642895805548</v>
      </c>
      <c r="K1709" s="6">
        <f t="shared" ref="K1709:M1710" si="168">K1610*$D1689</f>
        <v>11.086640271903873</v>
      </c>
      <c r="L1709" s="6">
        <f t="shared" si="168"/>
        <v>0.9385032929573317</v>
      </c>
      <c r="M1709" s="6">
        <f t="shared" si="168"/>
        <v>0.20213642895805548</v>
      </c>
      <c r="O1709" s="6">
        <f t="shared" ref="O1709:Q1710" si="169">O1610*$E1689</f>
        <v>10.205904682531513</v>
      </c>
      <c r="P1709" s="6">
        <f t="shared" si="169"/>
        <v>1.1530117592239375</v>
      </c>
      <c r="Q1709" s="6">
        <f t="shared" si="169"/>
        <v>0.14907839413721749</v>
      </c>
      <c r="S1709" s="6">
        <f t="shared" ref="S1709:U1710" si="170">S1610*$F1689</f>
        <v>10.205904682531513</v>
      </c>
      <c r="T1709" s="6">
        <f t="shared" si="170"/>
        <v>1.1530117592239375</v>
      </c>
      <c r="U1709" s="6">
        <f t="shared" si="170"/>
        <v>0.14907839413721749</v>
      </c>
      <c r="W1709" s="6">
        <f t="shared" ref="W1709:Y1710" si="171">W1610*$G1689</f>
        <v>11.086640271903873</v>
      </c>
      <c r="X1709" s="6">
        <f t="shared" si="171"/>
        <v>0.9385032929573317</v>
      </c>
      <c r="Y1709" s="6">
        <f t="shared" si="171"/>
        <v>0.20213642895805548</v>
      </c>
      <c r="AA1709" s="6">
        <f t="shared" ref="AA1709:AC1710" si="172">AA1610*$H1689</f>
        <v>10.205904682531513</v>
      </c>
      <c r="AB1709" s="6">
        <f t="shared" si="172"/>
        <v>1.1530117592239375</v>
      </c>
      <c r="AC1709" s="6">
        <f t="shared" si="172"/>
        <v>0.14907839413721749</v>
      </c>
      <c r="AE1709" s="6">
        <f t="shared" ref="AE1709:AG1710" si="173">AE1610*$I1689</f>
        <v>10.205904682531513</v>
      </c>
      <c r="AF1709" s="6">
        <f t="shared" si="173"/>
        <v>1.1530117592239375</v>
      </c>
      <c r="AG1709" s="6">
        <f t="shared" si="173"/>
        <v>0.14907839413721749</v>
      </c>
      <c r="AI1709" s="6">
        <f t="shared" ref="AI1709:AK1710" si="174">AI1610*$J1689</f>
        <v>10.205904682531513</v>
      </c>
      <c r="AJ1709" s="6">
        <f t="shared" si="174"/>
        <v>1.1530117592239375</v>
      </c>
      <c r="AK1709" s="6">
        <f t="shared" si="174"/>
        <v>0.14907839413721749</v>
      </c>
      <c r="AL1709" s="10"/>
    </row>
    <row r="1710" spans="1:38">
      <c r="A1710" s="11" t="s">
        <v>95</v>
      </c>
      <c r="C1710" s="6">
        <f t="shared" si="166"/>
        <v>12.263411036360916</v>
      </c>
      <c r="D1710" s="6">
        <f t="shared" si="166"/>
        <v>1.2368561811262297</v>
      </c>
      <c r="E1710" s="6">
        <f t="shared" si="166"/>
        <v>1.8701460813807799E-2</v>
      </c>
      <c r="G1710" s="6">
        <f t="shared" si="167"/>
        <v>12.126070823402912</v>
      </c>
      <c r="H1710" s="6">
        <f t="shared" si="167"/>
        <v>1.0264928886741218</v>
      </c>
      <c r="I1710" s="6">
        <f t="shared" si="167"/>
        <v>0.22108777712819294</v>
      </c>
      <c r="K1710" s="6">
        <f t="shared" si="168"/>
        <v>12.126070823402912</v>
      </c>
      <c r="L1710" s="6">
        <f t="shared" si="168"/>
        <v>1.0264928886741218</v>
      </c>
      <c r="M1710" s="6">
        <f t="shared" si="168"/>
        <v>0.22108777712819294</v>
      </c>
      <c r="O1710" s="6">
        <f t="shared" si="169"/>
        <v>11.16276166287337</v>
      </c>
      <c r="P1710" s="6">
        <f t="shared" si="169"/>
        <v>1.2611126463621476</v>
      </c>
      <c r="Q1710" s="6">
        <f t="shared" si="169"/>
        <v>0.16305527384416846</v>
      </c>
      <c r="S1710" s="6">
        <f t="shared" si="170"/>
        <v>11.16276166287337</v>
      </c>
      <c r="T1710" s="6">
        <f t="shared" si="170"/>
        <v>1.2611126463621476</v>
      </c>
      <c r="U1710" s="6">
        <f t="shared" si="170"/>
        <v>0.16305527384416846</v>
      </c>
      <c r="W1710" s="6">
        <f t="shared" si="171"/>
        <v>12.126070823402912</v>
      </c>
      <c r="X1710" s="6">
        <f t="shared" si="171"/>
        <v>1.0264928886741218</v>
      </c>
      <c r="Y1710" s="6">
        <f t="shared" si="171"/>
        <v>0.22108777712819294</v>
      </c>
      <c r="AA1710" s="6">
        <f t="shared" si="172"/>
        <v>11.16276166287337</v>
      </c>
      <c r="AB1710" s="6">
        <f t="shared" si="172"/>
        <v>1.2611126463621476</v>
      </c>
      <c r="AC1710" s="6">
        <f t="shared" si="172"/>
        <v>0.16305527384416846</v>
      </c>
      <c r="AE1710" s="6">
        <f t="shared" si="173"/>
        <v>11.16276166287337</v>
      </c>
      <c r="AF1710" s="6">
        <f t="shared" si="173"/>
        <v>1.2611126463621476</v>
      </c>
      <c r="AG1710" s="6">
        <f t="shared" si="173"/>
        <v>0.16305527384416846</v>
      </c>
      <c r="AI1710" s="6">
        <f t="shared" si="174"/>
        <v>11.16276166287337</v>
      </c>
      <c r="AJ1710" s="6">
        <f t="shared" si="174"/>
        <v>1.2611126463621476</v>
      </c>
      <c r="AK1710" s="6">
        <f t="shared" si="174"/>
        <v>0.16305527384416846</v>
      </c>
      <c r="AL1710" s="10"/>
    </row>
    <row r="1712" spans="1:38" ht="21" customHeight="1">
      <c r="A1712" s="1" t="s">
        <v>1769</v>
      </c>
    </row>
    <row r="1713" spans="1:38">
      <c r="A1713" s="2" t="s">
        <v>255</v>
      </c>
    </row>
    <row r="1714" spans="1:38">
      <c r="A1714" s="12" t="s">
        <v>1768</v>
      </c>
    </row>
    <row r="1715" spans="1:38">
      <c r="A1715" s="12" t="s">
        <v>1765</v>
      </c>
    </row>
    <row r="1716" spans="1:38">
      <c r="A1716" s="2" t="s">
        <v>597</v>
      </c>
    </row>
    <row r="1718" spans="1:38">
      <c r="B1718" s="17" t="s">
        <v>60</v>
      </c>
      <c r="C1718" s="3" t="s">
        <v>233</v>
      </c>
      <c r="D1718" s="3" t="s">
        <v>234</v>
      </c>
      <c r="E1718" s="3" t="s">
        <v>235</v>
      </c>
      <c r="F1718" s="17" t="s">
        <v>61</v>
      </c>
      <c r="G1718" s="3" t="s">
        <v>233</v>
      </c>
      <c r="H1718" s="3" t="s">
        <v>234</v>
      </c>
      <c r="I1718" s="3" t="s">
        <v>235</v>
      </c>
      <c r="J1718" s="17" t="s">
        <v>62</v>
      </c>
      <c r="K1718" s="3" t="s">
        <v>233</v>
      </c>
      <c r="L1718" s="3" t="s">
        <v>234</v>
      </c>
      <c r="M1718" s="3" t="s">
        <v>235</v>
      </c>
      <c r="N1718" s="17" t="s">
        <v>63</v>
      </c>
      <c r="O1718" s="3" t="s">
        <v>233</v>
      </c>
      <c r="P1718" s="3" t="s">
        <v>234</v>
      </c>
      <c r="Q1718" s="3" t="s">
        <v>235</v>
      </c>
      <c r="R1718" s="17" t="s">
        <v>64</v>
      </c>
      <c r="S1718" s="3" t="s">
        <v>233</v>
      </c>
      <c r="T1718" s="3" t="s">
        <v>234</v>
      </c>
      <c r="U1718" s="3" t="s">
        <v>235</v>
      </c>
      <c r="V1718" s="17" t="s">
        <v>69</v>
      </c>
      <c r="W1718" s="3" t="s">
        <v>233</v>
      </c>
      <c r="X1718" s="3" t="s">
        <v>234</v>
      </c>
      <c r="Y1718" s="3" t="s">
        <v>235</v>
      </c>
      <c r="Z1718" s="17" t="s">
        <v>65</v>
      </c>
      <c r="AA1718" s="3" t="s">
        <v>233</v>
      </c>
      <c r="AB1718" s="3" t="s">
        <v>234</v>
      </c>
      <c r="AC1718" s="3" t="s">
        <v>235</v>
      </c>
      <c r="AD1718" s="17" t="s">
        <v>66</v>
      </c>
      <c r="AE1718" s="3" t="s">
        <v>233</v>
      </c>
      <c r="AF1718" s="3" t="s">
        <v>234</v>
      </c>
      <c r="AG1718" s="3" t="s">
        <v>235</v>
      </c>
      <c r="AH1718" s="17" t="s">
        <v>67</v>
      </c>
      <c r="AI1718" s="3" t="s">
        <v>233</v>
      </c>
      <c r="AJ1718" s="3" t="s">
        <v>234</v>
      </c>
      <c r="AK1718" s="3" t="s">
        <v>235</v>
      </c>
    </row>
    <row r="1719" spans="1:38">
      <c r="A1719" s="11" t="s">
        <v>129</v>
      </c>
      <c r="C1719" s="6">
        <f t="shared" ref="C1719:E1720" si="175">C1582*$B1689</f>
        <v>8.4325219101767992</v>
      </c>
      <c r="D1719" s="6">
        <f t="shared" si="175"/>
        <v>0.85048253019981268</v>
      </c>
      <c r="E1719" s="6">
        <f t="shared" si="175"/>
        <v>1.2859430186036044E-2</v>
      </c>
      <c r="G1719" s="6">
        <f t="shared" ref="G1719:I1720" si="176">G1582*$C1689</f>
        <v>8.3380845345165628</v>
      </c>
      <c r="H1719" s="6">
        <f t="shared" si="176"/>
        <v>0.70583329130210692</v>
      </c>
      <c r="I1719" s="6">
        <f t="shared" si="176"/>
        <v>0.15202356988427249</v>
      </c>
      <c r="K1719" s="6">
        <f t="shared" ref="K1719:M1720" si="177">K1582*$D1689</f>
        <v>8.3380845345165628</v>
      </c>
      <c r="L1719" s="6">
        <f t="shared" si="177"/>
        <v>0.70583329130210692</v>
      </c>
      <c r="M1719" s="6">
        <f t="shared" si="177"/>
        <v>0.15202356988427249</v>
      </c>
      <c r="O1719" s="6">
        <f t="shared" ref="O1719:Q1720" si="178">O1582*$E1689</f>
        <v>7.6756974076108113</v>
      </c>
      <c r="P1719" s="6">
        <f t="shared" si="178"/>
        <v>0.86716167223940099</v>
      </c>
      <c r="Q1719" s="6">
        <f t="shared" si="178"/>
        <v>0.11211947191397745</v>
      </c>
      <c r="S1719" s="6">
        <f t="shared" ref="S1719:U1720" si="179">S1582*$F1689</f>
        <v>7.6756974076108113</v>
      </c>
      <c r="T1719" s="6">
        <f t="shared" si="179"/>
        <v>0.86716167223940099</v>
      </c>
      <c r="U1719" s="6">
        <f t="shared" si="179"/>
        <v>0.11211947191397745</v>
      </c>
      <c r="W1719" s="6">
        <f t="shared" ref="W1719:Y1720" si="180">W1582*$G1689</f>
        <v>8.3380845345165628</v>
      </c>
      <c r="X1719" s="6">
        <f t="shared" si="180"/>
        <v>0.70583329130210692</v>
      </c>
      <c r="Y1719" s="6">
        <f t="shared" si="180"/>
        <v>0.15202356988427249</v>
      </c>
      <c r="AA1719" s="6">
        <f t="shared" ref="AA1719:AC1720" si="181">AA1582*$H1689</f>
        <v>7.6756974076108113</v>
      </c>
      <c r="AB1719" s="6">
        <f t="shared" si="181"/>
        <v>0.86716167223940099</v>
      </c>
      <c r="AC1719" s="6">
        <f t="shared" si="181"/>
        <v>0.11211947191397745</v>
      </c>
      <c r="AE1719" s="6">
        <f t="shared" ref="AE1719:AG1720" si="182">AE1582*$I1689</f>
        <v>7.6756974076108113</v>
      </c>
      <c r="AF1719" s="6">
        <f t="shared" si="182"/>
        <v>0.86716167223940099</v>
      </c>
      <c r="AG1719" s="6">
        <f t="shared" si="182"/>
        <v>0.11211947191397745</v>
      </c>
      <c r="AI1719" s="6">
        <f t="shared" ref="AI1719:AK1720" si="183">AI1582*$J1689</f>
        <v>7.6756974076108113</v>
      </c>
      <c r="AJ1719" s="6">
        <f t="shared" si="183"/>
        <v>0.86716167223940099</v>
      </c>
      <c r="AK1719" s="6">
        <f t="shared" si="183"/>
        <v>0.11211947191397745</v>
      </c>
      <c r="AL1719" s="10"/>
    </row>
    <row r="1720" spans="1:38">
      <c r="A1720" s="11" t="s">
        <v>130</v>
      </c>
      <c r="C1720" s="6">
        <f t="shared" si="175"/>
        <v>8.4325219101767992</v>
      </c>
      <c r="D1720" s="6">
        <f t="shared" si="175"/>
        <v>0.85048253019981268</v>
      </c>
      <c r="E1720" s="6">
        <f t="shared" si="175"/>
        <v>1.2859430186036044E-2</v>
      </c>
      <c r="G1720" s="6">
        <f t="shared" si="176"/>
        <v>8.3380845345165628</v>
      </c>
      <c r="H1720" s="6">
        <f t="shared" si="176"/>
        <v>0.70583329130210692</v>
      </c>
      <c r="I1720" s="6">
        <f t="shared" si="176"/>
        <v>0.15202356988427249</v>
      </c>
      <c r="K1720" s="6">
        <f t="shared" si="177"/>
        <v>8.3380845345165628</v>
      </c>
      <c r="L1720" s="6">
        <f t="shared" si="177"/>
        <v>0.70583329130210692</v>
      </c>
      <c r="M1720" s="6">
        <f t="shared" si="177"/>
        <v>0.15202356988427249</v>
      </c>
      <c r="O1720" s="6">
        <f t="shared" si="178"/>
        <v>7.6756974076108113</v>
      </c>
      <c r="P1720" s="6">
        <f t="shared" si="178"/>
        <v>0.86716167223940099</v>
      </c>
      <c r="Q1720" s="6">
        <f t="shared" si="178"/>
        <v>0.11211947191397745</v>
      </c>
      <c r="S1720" s="6">
        <f t="shared" si="179"/>
        <v>7.6756974076108113</v>
      </c>
      <c r="T1720" s="6">
        <f t="shared" si="179"/>
        <v>0.86716167223940099</v>
      </c>
      <c r="U1720" s="6">
        <f t="shared" si="179"/>
        <v>0.11211947191397745</v>
      </c>
      <c r="W1720" s="6">
        <f t="shared" si="180"/>
        <v>8.3380845345165628</v>
      </c>
      <c r="X1720" s="6">
        <f t="shared" si="180"/>
        <v>0.70583329130210692</v>
      </c>
      <c r="Y1720" s="6">
        <f t="shared" si="180"/>
        <v>0.15202356988427249</v>
      </c>
      <c r="AA1720" s="6">
        <f t="shared" si="181"/>
        <v>7.6756974076108113</v>
      </c>
      <c r="AB1720" s="6">
        <f t="shared" si="181"/>
        <v>0.86716167223940099</v>
      </c>
      <c r="AC1720" s="6">
        <f t="shared" si="181"/>
        <v>0.11211947191397745</v>
      </c>
      <c r="AE1720" s="6">
        <f t="shared" si="182"/>
        <v>7.6756974076108113</v>
      </c>
      <c r="AF1720" s="6">
        <f t="shared" si="182"/>
        <v>0.86716167223940099</v>
      </c>
      <c r="AG1720" s="6">
        <f t="shared" si="182"/>
        <v>0.11211947191397745</v>
      </c>
      <c r="AI1720" s="6">
        <f t="shared" si="183"/>
        <v>7.6756974076108113</v>
      </c>
      <c r="AJ1720" s="6">
        <f t="shared" si="183"/>
        <v>0.86716167223940099</v>
      </c>
      <c r="AK1720" s="6">
        <f t="shared" si="183"/>
        <v>0.11211947191397745</v>
      </c>
      <c r="AL1720" s="10"/>
    </row>
    <row r="1722" spans="1:38" ht="21" customHeight="1">
      <c r="A1722" s="1" t="s">
        <v>1767</v>
      </c>
    </row>
    <row r="1723" spans="1:38">
      <c r="A1723" s="2" t="s">
        <v>255</v>
      </c>
    </row>
    <row r="1724" spans="1:38">
      <c r="A1724" s="12" t="s">
        <v>1766</v>
      </c>
    </row>
    <row r="1725" spans="1:38">
      <c r="A1725" s="12" t="s">
        <v>1765</v>
      </c>
    </row>
    <row r="1726" spans="1:38">
      <c r="A1726" s="12" t="s">
        <v>1764</v>
      </c>
    </row>
    <row r="1727" spans="1:38">
      <c r="A1727" s="2" t="s">
        <v>747</v>
      </c>
    </row>
    <row r="1729" spans="1:38">
      <c r="B1729" s="17" t="s">
        <v>60</v>
      </c>
      <c r="C1729" s="3" t="s">
        <v>233</v>
      </c>
      <c r="D1729" s="3" t="s">
        <v>234</v>
      </c>
      <c r="E1729" s="3" t="s">
        <v>235</v>
      </c>
      <c r="F1729" s="17" t="s">
        <v>61</v>
      </c>
      <c r="G1729" s="3" t="s">
        <v>233</v>
      </c>
      <c r="H1729" s="3" t="s">
        <v>234</v>
      </c>
      <c r="I1729" s="3" t="s">
        <v>235</v>
      </c>
      <c r="J1729" s="17" t="s">
        <v>62</v>
      </c>
      <c r="K1729" s="3" t="s">
        <v>233</v>
      </c>
      <c r="L1729" s="3" t="s">
        <v>234</v>
      </c>
      <c r="M1729" s="3" t="s">
        <v>235</v>
      </c>
      <c r="N1729" s="17" t="s">
        <v>63</v>
      </c>
      <c r="O1729" s="3" t="s">
        <v>233</v>
      </c>
      <c r="P1729" s="3" t="s">
        <v>234</v>
      </c>
      <c r="Q1729" s="3" t="s">
        <v>235</v>
      </c>
      <c r="R1729" s="17" t="s">
        <v>64</v>
      </c>
      <c r="S1729" s="3" t="s">
        <v>233</v>
      </c>
      <c r="T1729" s="3" t="s">
        <v>234</v>
      </c>
      <c r="U1729" s="3" t="s">
        <v>235</v>
      </c>
      <c r="V1729" s="17" t="s">
        <v>69</v>
      </c>
      <c r="W1729" s="3" t="s">
        <v>233</v>
      </c>
      <c r="X1729" s="3" t="s">
        <v>234</v>
      </c>
      <c r="Y1729" s="3" t="s">
        <v>235</v>
      </c>
      <c r="Z1729" s="17" t="s">
        <v>65</v>
      </c>
      <c r="AA1729" s="3" t="s">
        <v>233</v>
      </c>
      <c r="AB1729" s="3" t="s">
        <v>234</v>
      </c>
      <c r="AC1729" s="3" t="s">
        <v>235</v>
      </c>
      <c r="AD1729" s="17" t="s">
        <v>66</v>
      </c>
      <c r="AE1729" s="3" t="s">
        <v>233</v>
      </c>
      <c r="AF1729" s="3" t="s">
        <v>234</v>
      </c>
      <c r="AG1729" s="3" t="s">
        <v>235</v>
      </c>
      <c r="AH1729" s="17" t="s">
        <v>67</v>
      </c>
      <c r="AI1729" s="3" t="s">
        <v>233</v>
      </c>
      <c r="AJ1729" s="3" t="s">
        <v>234</v>
      </c>
      <c r="AK1729" s="3" t="s">
        <v>235</v>
      </c>
    </row>
    <row r="1730" spans="1:38">
      <c r="A1730" s="11" t="s">
        <v>1647</v>
      </c>
      <c r="C1730" s="6">
        <f t="shared" ref="C1730:E1731" si="184">C1495*$B1689*$B1644</f>
        <v>11.827180024070218</v>
      </c>
      <c r="D1730" s="6">
        <f t="shared" si="184"/>
        <v>1.1928590401716519</v>
      </c>
      <c r="E1730" s="6">
        <f t="shared" si="184"/>
        <v>1.8036217093448652E-2</v>
      </c>
      <c r="G1730" s="6">
        <f t="shared" ref="G1730:I1731" si="185">G1495*$C1689*$C1644</f>
        <v>11.932878303291826</v>
      </c>
      <c r="H1730" s="6">
        <f t="shared" si="185"/>
        <v>1.0101388073787751</v>
      </c>
      <c r="I1730" s="6">
        <f t="shared" si="185"/>
        <v>0.21756540739679406</v>
      </c>
      <c r="K1730" s="6">
        <f t="shared" ref="K1730:M1731" si="186">K1495*$D1689*$D1644</f>
        <v>11.932878303291826</v>
      </c>
      <c r="L1730" s="6">
        <f t="shared" si="186"/>
        <v>1.0101388073787751</v>
      </c>
      <c r="M1730" s="6">
        <f t="shared" si="186"/>
        <v>0.21756540739679406</v>
      </c>
      <c r="O1730" s="6">
        <f t="shared" ref="O1730:Q1731" si="187">O1495*$E1689*$E1644</f>
        <v>11.056176440093349</v>
      </c>
      <c r="P1730" s="6">
        <f t="shared" si="187"/>
        <v>1.2490711841843545</v>
      </c>
      <c r="Q1730" s="6">
        <f t="shared" si="187"/>
        <v>0.16149837572047743</v>
      </c>
      <c r="S1730" s="6">
        <f t="shared" ref="S1730:U1731" si="188">S1495*$F1689*$F1644</f>
        <v>11.056176440093349</v>
      </c>
      <c r="T1730" s="6">
        <f t="shared" si="188"/>
        <v>1.2490711841843545</v>
      </c>
      <c r="U1730" s="6">
        <f t="shared" si="188"/>
        <v>0.16149837572047743</v>
      </c>
      <c r="W1730" s="6">
        <f t="shared" ref="W1730:Y1731" si="189">W1495*$G1689*$G1644</f>
        <v>11.932878303291826</v>
      </c>
      <c r="X1730" s="6">
        <f t="shared" si="189"/>
        <v>1.0101388073787751</v>
      </c>
      <c r="Y1730" s="6">
        <f t="shared" si="189"/>
        <v>0.21756540739679406</v>
      </c>
      <c r="AA1730" s="6">
        <f t="shared" ref="AA1730:AC1731" si="190">AA1495*$H1689*$H1644</f>
        <v>11.056176440093349</v>
      </c>
      <c r="AB1730" s="6">
        <f t="shared" si="190"/>
        <v>1.2490711841843545</v>
      </c>
      <c r="AC1730" s="6">
        <f t="shared" si="190"/>
        <v>0.16149837572047743</v>
      </c>
      <c r="AE1730" s="6">
        <f t="shared" ref="AE1730:AG1731" si="191">AE1495*$I1689*$I1644</f>
        <v>11.056176440093349</v>
      </c>
      <c r="AF1730" s="6">
        <f t="shared" si="191"/>
        <v>1.2490711841843545</v>
      </c>
      <c r="AG1730" s="6">
        <f t="shared" si="191"/>
        <v>0.16149837572047743</v>
      </c>
      <c r="AI1730" s="6">
        <f t="shared" ref="AI1730:AK1731" si="192">AI1495*$J1689*$J1644</f>
        <v>11.056176440093349</v>
      </c>
      <c r="AJ1730" s="6">
        <f t="shared" si="192"/>
        <v>1.2490711841843545</v>
      </c>
      <c r="AK1730" s="6">
        <f t="shared" si="192"/>
        <v>0.16149837572047743</v>
      </c>
      <c r="AL1730" s="10"/>
    </row>
    <row r="1731" spans="1:38">
      <c r="A1731" s="11" t="s">
        <v>1646</v>
      </c>
      <c r="C1731" s="6">
        <f t="shared" si="184"/>
        <v>11.858462129703129</v>
      </c>
      <c r="D1731" s="6">
        <f t="shared" si="184"/>
        <v>1.1960140731062889</v>
      </c>
      <c r="E1731" s="6">
        <f t="shared" si="184"/>
        <v>1.8083921689741864E-2</v>
      </c>
      <c r="G1731" s="6">
        <f t="shared" si="185"/>
        <v>12.084456550036018</v>
      </c>
      <c r="H1731" s="6">
        <f t="shared" si="185"/>
        <v>1.0229701683881727</v>
      </c>
      <c r="I1731" s="6">
        <f t="shared" si="185"/>
        <v>0.22032904766590619</v>
      </c>
      <c r="K1731" s="6">
        <f t="shared" si="186"/>
        <v>12.084456550036018</v>
      </c>
      <c r="L1731" s="6">
        <f t="shared" si="186"/>
        <v>1.0229701683881727</v>
      </c>
      <c r="M1731" s="6">
        <f t="shared" si="186"/>
        <v>0.22032904766590619</v>
      </c>
      <c r="O1731" s="6">
        <f t="shared" si="187"/>
        <v>10.868156166898114</v>
      </c>
      <c r="P1731" s="6">
        <f t="shared" si="187"/>
        <v>1.2278295997574824</v>
      </c>
      <c r="Q1731" s="6">
        <f t="shared" si="187"/>
        <v>0.15875194987533287</v>
      </c>
      <c r="S1731" s="6">
        <f t="shared" si="188"/>
        <v>10.868156166898114</v>
      </c>
      <c r="T1731" s="6">
        <f t="shared" si="188"/>
        <v>1.2278295997574824</v>
      </c>
      <c r="U1731" s="6">
        <f t="shared" si="188"/>
        <v>0.15875194987533287</v>
      </c>
      <c r="W1731" s="6">
        <f t="shared" si="189"/>
        <v>12.084456550036018</v>
      </c>
      <c r="X1731" s="6">
        <f t="shared" si="189"/>
        <v>1.0229701683881727</v>
      </c>
      <c r="Y1731" s="6">
        <f t="shared" si="189"/>
        <v>0.22032904766590619</v>
      </c>
      <c r="AA1731" s="6">
        <f t="shared" si="190"/>
        <v>10.868156166898114</v>
      </c>
      <c r="AB1731" s="6">
        <f t="shared" si="190"/>
        <v>1.2278295997574824</v>
      </c>
      <c r="AC1731" s="6">
        <f t="shared" si="190"/>
        <v>0.15875194987533287</v>
      </c>
      <c r="AE1731" s="6">
        <f t="shared" si="191"/>
        <v>10.868156166898114</v>
      </c>
      <c r="AF1731" s="6">
        <f t="shared" si="191"/>
        <v>1.2278295997574824</v>
      </c>
      <c r="AG1731" s="6">
        <f t="shared" si="191"/>
        <v>0.15875194987533287</v>
      </c>
      <c r="AI1731" s="6">
        <f t="shared" si="192"/>
        <v>10.868156166898114</v>
      </c>
      <c r="AJ1731" s="6">
        <f t="shared" si="192"/>
        <v>1.2278295997574824</v>
      </c>
      <c r="AK1731" s="6">
        <f t="shared" si="192"/>
        <v>0.15875194987533287</v>
      </c>
      <c r="AL1731" s="10"/>
    </row>
    <row r="1733" spans="1:38" ht="21" customHeight="1">
      <c r="A1733" s="1" t="s">
        <v>1763</v>
      </c>
    </row>
    <row r="1734" spans="1:38">
      <c r="A1734" s="2" t="s">
        <v>255</v>
      </c>
    </row>
    <row r="1735" spans="1:38">
      <c r="A1735" s="12" t="s">
        <v>1762</v>
      </c>
    </row>
    <row r="1736" spans="1:38">
      <c r="A1736" s="12" t="s">
        <v>1761</v>
      </c>
    </row>
    <row r="1737" spans="1:38">
      <c r="A1737" s="12" t="s">
        <v>1760</v>
      </c>
    </row>
    <row r="1738" spans="1:38">
      <c r="A1738" s="12" t="s">
        <v>1759</v>
      </c>
    </row>
    <row r="1739" spans="1:38">
      <c r="A1739" s="12" t="s">
        <v>1758</v>
      </c>
    </row>
    <row r="1740" spans="1:38">
      <c r="A1740" s="2" t="s">
        <v>341</v>
      </c>
    </row>
    <row r="1742" spans="1:38">
      <c r="B1742" s="17" t="s">
        <v>60</v>
      </c>
      <c r="C1742" s="3" t="s">
        <v>233</v>
      </c>
      <c r="D1742" s="3" t="s">
        <v>234</v>
      </c>
      <c r="E1742" s="3" t="s">
        <v>235</v>
      </c>
      <c r="F1742" s="17" t="s">
        <v>61</v>
      </c>
      <c r="G1742" s="3" t="s">
        <v>233</v>
      </c>
      <c r="H1742" s="3" t="s">
        <v>234</v>
      </c>
      <c r="I1742" s="3" t="s">
        <v>235</v>
      </c>
      <c r="J1742" s="17" t="s">
        <v>62</v>
      </c>
      <c r="K1742" s="3" t="s">
        <v>233</v>
      </c>
      <c r="L1742" s="3" t="s">
        <v>234</v>
      </c>
      <c r="M1742" s="3" t="s">
        <v>235</v>
      </c>
      <c r="N1742" s="17" t="s">
        <v>63</v>
      </c>
      <c r="O1742" s="3" t="s">
        <v>233</v>
      </c>
      <c r="P1742" s="3" t="s">
        <v>234</v>
      </c>
      <c r="Q1742" s="3" t="s">
        <v>235</v>
      </c>
      <c r="R1742" s="17" t="s">
        <v>64</v>
      </c>
      <c r="S1742" s="3" t="s">
        <v>233</v>
      </c>
      <c r="T1742" s="3" t="s">
        <v>234</v>
      </c>
      <c r="U1742" s="3" t="s">
        <v>235</v>
      </c>
      <c r="V1742" s="17" t="s">
        <v>69</v>
      </c>
      <c r="W1742" s="3" t="s">
        <v>233</v>
      </c>
      <c r="X1742" s="3" t="s">
        <v>234</v>
      </c>
      <c r="Y1742" s="3" t="s">
        <v>235</v>
      </c>
      <c r="Z1742" s="17" t="s">
        <v>65</v>
      </c>
      <c r="AA1742" s="3" t="s">
        <v>233</v>
      </c>
      <c r="AB1742" s="3" t="s">
        <v>234</v>
      </c>
      <c r="AC1742" s="3" t="s">
        <v>235</v>
      </c>
      <c r="AD1742" s="17" t="s">
        <v>66</v>
      </c>
      <c r="AE1742" s="3" t="s">
        <v>233</v>
      </c>
      <c r="AF1742" s="3" t="s">
        <v>234</v>
      </c>
      <c r="AG1742" s="3" t="s">
        <v>235</v>
      </c>
      <c r="AH1742" s="17" t="s">
        <v>67</v>
      </c>
      <c r="AI1742" s="3" t="s">
        <v>233</v>
      </c>
      <c r="AJ1742" s="3" t="s">
        <v>234</v>
      </c>
      <c r="AK1742" s="3" t="s">
        <v>235</v>
      </c>
    </row>
    <row r="1743" spans="1:38">
      <c r="A1743" s="11" t="s">
        <v>92</v>
      </c>
      <c r="C1743" s="7">
        <f>C$1699</f>
        <v>1.9489215874029309</v>
      </c>
      <c r="D1743" s="7">
        <f>D$1699</f>
        <v>1.9489215874029309</v>
      </c>
      <c r="E1743" s="7">
        <f>E$1699</f>
        <v>1.9489215874029309</v>
      </c>
      <c r="G1743" s="7">
        <f>G$1699</f>
        <v>1.9489215874029309</v>
      </c>
      <c r="H1743" s="7">
        <f>H$1699</f>
        <v>1.9489215874029309</v>
      </c>
      <c r="I1743" s="7">
        <f>I$1699</f>
        <v>1.9489215874029309</v>
      </c>
      <c r="K1743" s="7">
        <f>K$1699</f>
        <v>1.9489215874029309</v>
      </c>
      <c r="L1743" s="7">
        <f>L$1699</f>
        <v>1.9489215874029309</v>
      </c>
      <c r="M1743" s="7">
        <f>M$1699</f>
        <v>1.9489215874029309</v>
      </c>
      <c r="O1743" s="7">
        <f>O$1699</f>
        <v>1.9489215874029309</v>
      </c>
      <c r="P1743" s="7">
        <f>P$1699</f>
        <v>1.9489215874029309</v>
      </c>
      <c r="Q1743" s="7">
        <f>Q$1699</f>
        <v>1.9489215874029309</v>
      </c>
      <c r="S1743" s="7">
        <f>S$1699</f>
        <v>1.9489215874029309</v>
      </c>
      <c r="T1743" s="7">
        <f>T$1699</f>
        <v>1.9489215874029309</v>
      </c>
      <c r="U1743" s="7">
        <f>U$1699</f>
        <v>1.9489215874029309</v>
      </c>
      <c r="W1743" s="7">
        <f>W$1699</f>
        <v>1.9489215874029309</v>
      </c>
      <c r="X1743" s="7">
        <f>X$1699</f>
        <v>1.9489215874029309</v>
      </c>
      <c r="Y1743" s="7">
        <f>Y$1699</f>
        <v>1.9489215874029309</v>
      </c>
      <c r="AA1743" s="7">
        <f>AA$1699</f>
        <v>1.9489215874029309</v>
      </c>
      <c r="AB1743" s="7">
        <f>AB$1699</f>
        <v>1.9489215874029309</v>
      </c>
      <c r="AC1743" s="7">
        <f>AC$1699</f>
        <v>1.9489215874029309</v>
      </c>
      <c r="AE1743" s="7">
        <f>AE$1699</f>
        <v>1.9489215874029309</v>
      </c>
      <c r="AF1743" s="7">
        <f>AF$1699</f>
        <v>1.9489215874029309</v>
      </c>
      <c r="AG1743" s="7">
        <f>AG$1699</f>
        <v>1.9489215874029309</v>
      </c>
      <c r="AI1743" s="7">
        <f>AI$1699</f>
        <v>1.9489215874029309</v>
      </c>
      <c r="AJ1743" s="7">
        <f>AJ$1699</f>
        <v>1.9489215874029309</v>
      </c>
      <c r="AK1743" s="7">
        <f>AK$1699</f>
        <v>1.9489215874029309</v>
      </c>
      <c r="AL1743" s="10"/>
    </row>
    <row r="1744" spans="1:38">
      <c r="A1744" s="11" t="s">
        <v>93</v>
      </c>
      <c r="C1744" s="7">
        <f>C$1709</f>
        <v>11.212207865735948</v>
      </c>
      <c r="D1744" s="7">
        <f>D$1709</f>
        <v>1.1308345257032864</v>
      </c>
      <c r="E1744" s="7">
        <f>E$1709</f>
        <v>1.7098396638228555E-2</v>
      </c>
      <c r="G1744" s="7">
        <f>G$1709</f>
        <v>11.086640271903873</v>
      </c>
      <c r="H1744" s="7">
        <f>H$1709</f>
        <v>0.9385032929573317</v>
      </c>
      <c r="I1744" s="7">
        <f>I$1709</f>
        <v>0.20213642895805548</v>
      </c>
      <c r="K1744" s="7">
        <f>K$1709</f>
        <v>11.086640271903873</v>
      </c>
      <c r="L1744" s="7">
        <f>L$1709</f>
        <v>0.9385032929573317</v>
      </c>
      <c r="M1744" s="7">
        <f>M$1709</f>
        <v>0.20213642895805548</v>
      </c>
      <c r="O1744" s="7">
        <f>O$1709</f>
        <v>10.205904682531513</v>
      </c>
      <c r="P1744" s="7">
        <f>P$1709</f>
        <v>1.1530117592239375</v>
      </c>
      <c r="Q1744" s="7">
        <f>Q$1709</f>
        <v>0.14907839413721749</v>
      </c>
      <c r="S1744" s="7">
        <f>S$1709</f>
        <v>10.205904682531513</v>
      </c>
      <c r="T1744" s="7">
        <f>T$1709</f>
        <v>1.1530117592239375</v>
      </c>
      <c r="U1744" s="7">
        <f>U$1709</f>
        <v>0.14907839413721749</v>
      </c>
      <c r="W1744" s="7">
        <f>W$1709</f>
        <v>11.086640271903873</v>
      </c>
      <c r="X1744" s="7">
        <f>X$1709</f>
        <v>0.9385032929573317</v>
      </c>
      <c r="Y1744" s="7">
        <f>Y$1709</f>
        <v>0.20213642895805548</v>
      </c>
      <c r="AA1744" s="7">
        <f>AA$1709</f>
        <v>10.205904682531513</v>
      </c>
      <c r="AB1744" s="7">
        <f>AB$1709</f>
        <v>1.1530117592239375</v>
      </c>
      <c r="AC1744" s="7">
        <f>AC$1709</f>
        <v>0.14907839413721749</v>
      </c>
      <c r="AE1744" s="7">
        <f>AE$1709</f>
        <v>10.205904682531513</v>
      </c>
      <c r="AF1744" s="7">
        <f>AF$1709</f>
        <v>1.1530117592239375</v>
      </c>
      <c r="AG1744" s="7">
        <f>AG$1709</f>
        <v>0.14907839413721749</v>
      </c>
      <c r="AI1744" s="7">
        <f>AI$1709</f>
        <v>10.205904682531513</v>
      </c>
      <c r="AJ1744" s="7">
        <f>AJ$1709</f>
        <v>1.1530117592239375</v>
      </c>
      <c r="AK1744" s="7">
        <f>AK$1709</f>
        <v>0.14907839413721749</v>
      </c>
      <c r="AL1744" s="10"/>
    </row>
    <row r="1745" spans="1:38">
      <c r="A1745" s="11" t="s">
        <v>129</v>
      </c>
      <c r="C1745" s="7">
        <f>C$1719</f>
        <v>8.4325219101767992</v>
      </c>
      <c r="D1745" s="7">
        <f>D$1719</f>
        <v>0.85048253019981268</v>
      </c>
      <c r="E1745" s="7">
        <f>E$1719</f>
        <v>1.2859430186036044E-2</v>
      </c>
      <c r="G1745" s="7">
        <f>G$1719</f>
        <v>8.3380845345165628</v>
      </c>
      <c r="H1745" s="7">
        <f>H$1719</f>
        <v>0.70583329130210692</v>
      </c>
      <c r="I1745" s="7">
        <f>I$1719</f>
        <v>0.15202356988427249</v>
      </c>
      <c r="K1745" s="7">
        <f>K$1719</f>
        <v>8.3380845345165628</v>
      </c>
      <c r="L1745" s="7">
        <f>L$1719</f>
        <v>0.70583329130210692</v>
      </c>
      <c r="M1745" s="7">
        <f>M$1719</f>
        <v>0.15202356988427249</v>
      </c>
      <c r="O1745" s="7">
        <f>O$1719</f>
        <v>7.6756974076108113</v>
      </c>
      <c r="P1745" s="7">
        <f>P$1719</f>
        <v>0.86716167223940099</v>
      </c>
      <c r="Q1745" s="7">
        <f>Q$1719</f>
        <v>0.11211947191397745</v>
      </c>
      <c r="S1745" s="7">
        <f>S$1719</f>
        <v>7.6756974076108113</v>
      </c>
      <c r="T1745" s="7">
        <f>T$1719</f>
        <v>0.86716167223940099</v>
      </c>
      <c r="U1745" s="7">
        <f>U$1719</f>
        <v>0.11211947191397745</v>
      </c>
      <c r="W1745" s="7">
        <f>W$1719</f>
        <v>8.3380845345165628</v>
      </c>
      <c r="X1745" s="7">
        <f>X$1719</f>
        <v>0.70583329130210692</v>
      </c>
      <c r="Y1745" s="7">
        <f>Y$1719</f>
        <v>0.15202356988427249</v>
      </c>
      <c r="AA1745" s="7">
        <f>AA$1719</f>
        <v>7.6756974076108113</v>
      </c>
      <c r="AB1745" s="7">
        <f>AB$1719</f>
        <v>0.86716167223940099</v>
      </c>
      <c r="AC1745" s="7">
        <f>AC$1719</f>
        <v>0.11211947191397745</v>
      </c>
      <c r="AE1745" s="7">
        <f>AE$1719</f>
        <v>7.6756974076108113</v>
      </c>
      <c r="AF1745" s="7">
        <f>AF$1719</f>
        <v>0.86716167223940099</v>
      </c>
      <c r="AG1745" s="7">
        <f>AG$1719</f>
        <v>0.11211947191397745</v>
      </c>
      <c r="AI1745" s="7">
        <f>AI$1719</f>
        <v>7.6756974076108113</v>
      </c>
      <c r="AJ1745" s="7">
        <f>AJ$1719</f>
        <v>0.86716167223940099</v>
      </c>
      <c r="AK1745" s="7">
        <f>AK$1719</f>
        <v>0.11211947191397745</v>
      </c>
      <c r="AL1745" s="10"/>
    </row>
    <row r="1746" spans="1:38">
      <c r="A1746" s="11" t="s">
        <v>94</v>
      </c>
      <c r="C1746" s="7">
        <f>C$1700</f>
        <v>1.5328184166472327</v>
      </c>
      <c r="D1746" s="7">
        <f>D$1700</f>
        <v>1.5328184166472327</v>
      </c>
      <c r="E1746" s="7">
        <f>E$1700</f>
        <v>1.5328184166472327</v>
      </c>
      <c r="G1746" s="7">
        <f>G$1700</f>
        <v>1.5328184166472327</v>
      </c>
      <c r="H1746" s="7">
        <f>H$1700</f>
        <v>1.5328184166472327</v>
      </c>
      <c r="I1746" s="7">
        <f>I$1700</f>
        <v>1.5328184166472327</v>
      </c>
      <c r="K1746" s="7">
        <f>K$1700</f>
        <v>1.5328184166472327</v>
      </c>
      <c r="L1746" s="7">
        <f>L$1700</f>
        <v>1.5328184166472327</v>
      </c>
      <c r="M1746" s="7">
        <f>M$1700</f>
        <v>1.5328184166472327</v>
      </c>
      <c r="O1746" s="7">
        <f>O$1700</f>
        <v>1.5328184166472327</v>
      </c>
      <c r="P1746" s="7">
        <f>P$1700</f>
        <v>1.5328184166472327</v>
      </c>
      <c r="Q1746" s="7">
        <f>Q$1700</f>
        <v>1.5328184166472327</v>
      </c>
      <c r="S1746" s="7">
        <f>S$1700</f>
        <v>1.5328184166472327</v>
      </c>
      <c r="T1746" s="7">
        <f>T$1700</f>
        <v>1.5328184166472327</v>
      </c>
      <c r="U1746" s="7">
        <f>U$1700</f>
        <v>1.5328184166472327</v>
      </c>
      <c r="W1746" s="7">
        <f>W$1700</f>
        <v>1.5328184166472327</v>
      </c>
      <c r="X1746" s="7">
        <f>X$1700</f>
        <v>1.5328184166472327</v>
      </c>
      <c r="Y1746" s="7">
        <f>Y$1700</f>
        <v>1.5328184166472327</v>
      </c>
      <c r="AA1746" s="7">
        <f>AA$1700</f>
        <v>1.5328184166472327</v>
      </c>
      <c r="AB1746" s="7">
        <f>AB$1700</f>
        <v>1.5328184166472327</v>
      </c>
      <c r="AC1746" s="7">
        <f>AC$1700</f>
        <v>1.5328184166472327</v>
      </c>
      <c r="AE1746" s="7">
        <f>AE$1700</f>
        <v>1.5328184166472327</v>
      </c>
      <c r="AF1746" s="7">
        <f>AF$1700</f>
        <v>1.5328184166472327</v>
      </c>
      <c r="AG1746" s="7">
        <f>AG$1700</f>
        <v>1.5328184166472327</v>
      </c>
      <c r="AI1746" s="7">
        <f>AI$1700</f>
        <v>1.5328184166472327</v>
      </c>
      <c r="AJ1746" s="7">
        <f>AJ$1700</f>
        <v>1.5328184166472327</v>
      </c>
      <c r="AK1746" s="7">
        <f>AK$1700</f>
        <v>1.5328184166472327</v>
      </c>
      <c r="AL1746" s="10"/>
    </row>
    <row r="1747" spans="1:38">
      <c r="A1747" s="11" t="s">
        <v>95</v>
      </c>
      <c r="C1747" s="7">
        <f>C$1710</f>
        <v>12.263411036360916</v>
      </c>
      <c r="D1747" s="7">
        <f>D$1710</f>
        <v>1.2368561811262297</v>
      </c>
      <c r="E1747" s="7">
        <f>E$1710</f>
        <v>1.8701460813807799E-2</v>
      </c>
      <c r="G1747" s="7">
        <f>G$1710</f>
        <v>12.126070823402912</v>
      </c>
      <c r="H1747" s="7">
        <f>H$1710</f>
        <v>1.0264928886741218</v>
      </c>
      <c r="I1747" s="7">
        <f>I$1710</f>
        <v>0.22108777712819294</v>
      </c>
      <c r="K1747" s="7">
        <f>K$1710</f>
        <v>12.126070823402912</v>
      </c>
      <c r="L1747" s="7">
        <f>L$1710</f>
        <v>1.0264928886741218</v>
      </c>
      <c r="M1747" s="7">
        <f>M$1710</f>
        <v>0.22108777712819294</v>
      </c>
      <c r="O1747" s="7">
        <f>O$1710</f>
        <v>11.16276166287337</v>
      </c>
      <c r="P1747" s="7">
        <f>P$1710</f>
        <v>1.2611126463621476</v>
      </c>
      <c r="Q1747" s="7">
        <f>Q$1710</f>
        <v>0.16305527384416846</v>
      </c>
      <c r="S1747" s="7">
        <f>S$1710</f>
        <v>11.16276166287337</v>
      </c>
      <c r="T1747" s="7">
        <f>T$1710</f>
        <v>1.2611126463621476</v>
      </c>
      <c r="U1747" s="7">
        <f>U$1710</f>
        <v>0.16305527384416846</v>
      </c>
      <c r="W1747" s="7">
        <f>W$1710</f>
        <v>12.126070823402912</v>
      </c>
      <c r="X1747" s="7">
        <f>X$1710</f>
        <v>1.0264928886741218</v>
      </c>
      <c r="Y1747" s="7">
        <f>Y$1710</f>
        <v>0.22108777712819294</v>
      </c>
      <c r="AA1747" s="7">
        <f>AA$1710</f>
        <v>11.16276166287337</v>
      </c>
      <c r="AB1747" s="7">
        <f>AB$1710</f>
        <v>1.2611126463621476</v>
      </c>
      <c r="AC1747" s="7">
        <f>AC$1710</f>
        <v>0.16305527384416846</v>
      </c>
      <c r="AE1747" s="7">
        <f>AE$1710</f>
        <v>11.16276166287337</v>
      </c>
      <c r="AF1747" s="7">
        <f>AF$1710</f>
        <v>1.2611126463621476</v>
      </c>
      <c r="AG1747" s="7">
        <f>AG$1710</f>
        <v>0.16305527384416846</v>
      </c>
      <c r="AI1747" s="7">
        <f>AI$1710</f>
        <v>11.16276166287337</v>
      </c>
      <c r="AJ1747" s="7">
        <f>AJ$1710</f>
        <v>1.2611126463621476</v>
      </c>
      <c r="AK1747" s="7">
        <f>AK$1710</f>
        <v>0.16305527384416846</v>
      </c>
      <c r="AL1747" s="10"/>
    </row>
    <row r="1748" spans="1:38">
      <c r="A1748" s="11" t="s">
        <v>130</v>
      </c>
      <c r="C1748" s="7">
        <f>C$1720</f>
        <v>8.4325219101767992</v>
      </c>
      <c r="D1748" s="7">
        <f>D$1720</f>
        <v>0.85048253019981268</v>
      </c>
      <c r="E1748" s="7">
        <f>E$1720</f>
        <v>1.2859430186036044E-2</v>
      </c>
      <c r="G1748" s="7">
        <f>G$1720</f>
        <v>8.3380845345165628</v>
      </c>
      <c r="H1748" s="7">
        <f>H$1720</f>
        <v>0.70583329130210692</v>
      </c>
      <c r="I1748" s="7">
        <f>I$1720</f>
        <v>0.15202356988427249</v>
      </c>
      <c r="K1748" s="7">
        <f>K$1720</f>
        <v>8.3380845345165628</v>
      </c>
      <c r="L1748" s="7">
        <f>L$1720</f>
        <v>0.70583329130210692</v>
      </c>
      <c r="M1748" s="7">
        <f>M$1720</f>
        <v>0.15202356988427249</v>
      </c>
      <c r="O1748" s="7">
        <f>O$1720</f>
        <v>7.6756974076108113</v>
      </c>
      <c r="P1748" s="7">
        <f>P$1720</f>
        <v>0.86716167223940099</v>
      </c>
      <c r="Q1748" s="7">
        <f>Q$1720</f>
        <v>0.11211947191397745</v>
      </c>
      <c r="S1748" s="7">
        <f>S$1720</f>
        <v>7.6756974076108113</v>
      </c>
      <c r="T1748" s="7">
        <f>T$1720</f>
        <v>0.86716167223940099</v>
      </c>
      <c r="U1748" s="7">
        <f>U$1720</f>
        <v>0.11211947191397745</v>
      </c>
      <c r="W1748" s="7">
        <f>W$1720</f>
        <v>8.3380845345165628</v>
      </c>
      <c r="X1748" s="7">
        <f>X$1720</f>
        <v>0.70583329130210692</v>
      </c>
      <c r="Y1748" s="7">
        <f>Y$1720</f>
        <v>0.15202356988427249</v>
      </c>
      <c r="AA1748" s="7">
        <f>AA$1720</f>
        <v>7.6756974076108113</v>
      </c>
      <c r="AB1748" s="7">
        <f>AB$1720</f>
        <v>0.86716167223940099</v>
      </c>
      <c r="AC1748" s="7">
        <f>AC$1720</f>
        <v>0.11211947191397745</v>
      </c>
      <c r="AE1748" s="7">
        <f>AE$1720</f>
        <v>7.6756974076108113</v>
      </c>
      <c r="AF1748" s="7">
        <f>AF$1720</f>
        <v>0.86716167223940099</v>
      </c>
      <c r="AG1748" s="7">
        <f>AG$1720</f>
        <v>0.11211947191397745</v>
      </c>
      <c r="AI1748" s="7">
        <f>AI$1720</f>
        <v>7.6756974076108113</v>
      </c>
      <c r="AJ1748" s="7">
        <f>AJ$1720</f>
        <v>0.86716167223940099</v>
      </c>
      <c r="AK1748" s="7">
        <f>AK$1720</f>
        <v>0.11211947191397745</v>
      </c>
      <c r="AL1748" s="10"/>
    </row>
    <row r="1749" spans="1:38">
      <c r="A1749" s="11" t="s">
        <v>96</v>
      </c>
      <c r="C1749" s="7">
        <f t="shared" ref="C1749:E1751" si="193">C1477</f>
        <v>11.176747227438128</v>
      </c>
      <c r="D1749" s="7">
        <f t="shared" si="193"/>
        <v>1.1272580566821226</v>
      </c>
      <c r="E1749" s="7">
        <f t="shared" si="193"/>
        <v>1.7044319861743363E-2</v>
      </c>
      <c r="G1749" s="7">
        <f t="shared" ref="G1749:I1751" si="194">G1477</f>
        <v>11.051576763866223</v>
      </c>
      <c r="H1749" s="7">
        <f t="shared" si="194"/>
        <v>0.93553510629763059</v>
      </c>
      <c r="I1749" s="7">
        <f t="shared" si="194"/>
        <v>0.2014971358875087</v>
      </c>
      <c r="K1749" s="7">
        <f t="shared" ref="K1749:M1751" si="195">K1477</f>
        <v>11.051576763866223</v>
      </c>
      <c r="L1749" s="7">
        <f t="shared" si="195"/>
        <v>0.93553510629763059</v>
      </c>
      <c r="M1749" s="7">
        <f t="shared" si="195"/>
        <v>0.2014971358875087</v>
      </c>
      <c r="O1749" s="7">
        <f t="shared" ref="O1749:Q1751" si="196">O1477</f>
        <v>10.173626660327226</v>
      </c>
      <c r="P1749" s="7">
        <f t="shared" si="196"/>
        <v>1.1493651506846934</v>
      </c>
      <c r="Q1749" s="7">
        <f t="shared" si="196"/>
        <v>0.14860690671245477</v>
      </c>
      <c r="S1749" s="7">
        <f t="shared" ref="S1749:U1751" si="197">S1477</f>
        <v>10.173626660327226</v>
      </c>
      <c r="T1749" s="7">
        <f t="shared" si="197"/>
        <v>1.1493651506846934</v>
      </c>
      <c r="U1749" s="7">
        <f t="shared" si="197"/>
        <v>0.14860690671245477</v>
      </c>
      <c r="W1749" s="7">
        <f t="shared" ref="W1749:Y1751" si="198">W1477</f>
        <v>11.051576763866223</v>
      </c>
      <c r="X1749" s="7">
        <f t="shared" si="198"/>
        <v>0.93553510629763059</v>
      </c>
      <c r="Y1749" s="7">
        <f t="shared" si="198"/>
        <v>0.2014971358875087</v>
      </c>
      <c r="AA1749" s="7">
        <f t="shared" ref="AA1749:AC1751" si="199">AA1477</f>
        <v>10.173626660327226</v>
      </c>
      <c r="AB1749" s="7">
        <f t="shared" si="199"/>
        <v>1.1493651506846934</v>
      </c>
      <c r="AC1749" s="7">
        <f t="shared" si="199"/>
        <v>0.14860690671245477</v>
      </c>
      <c r="AE1749" s="7">
        <f t="shared" ref="AE1749:AG1751" si="200">AE1477</f>
        <v>10.173626660327226</v>
      </c>
      <c r="AF1749" s="7">
        <f t="shared" si="200"/>
        <v>1.1493651506846934</v>
      </c>
      <c r="AG1749" s="7">
        <f t="shared" si="200"/>
        <v>0.14860690671245477</v>
      </c>
      <c r="AI1749" s="7">
        <f t="shared" ref="AI1749:AK1751" si="201">AI1477</f>
        <v>10.173626660327226</v>
      </c>
      <c r="AJ1749" s="7">
        <f t="shared" si="201"/>
        <v>1.1493651506846934</v>
      </c>
      <c r="AK1749" s="7">
        <f t="shared" si="201"/>
        <v>0.14860690671245477</v>
      </c>
      <c r="AL1749" s="10"/>
    </row>
    <row r="1750" spans="1:38">
      <c r="A1750" s="11" t="s">
        <v>97</v>
      </c>
      <c r="C1750" s="7">
        <f t="shared" si="193"/>
        <v>11.420534547749449</v>
      </c>
      <c r="D1750" s="7">
        <f t="shared" si="193"/>
        <v>1.1518458204872519</v>
      </c>
      <c r="E1750" s="7">
        <f t="shared" si="193"/>
        <v>1.7416090733989874E-2</v>
      </c>
      <c r="G1750" s="7">
        <f t="shared" si="194"/>
        <v>11.292633864796596</v>
      </c>
      <c r="H1750" s="7">
        <f t="shared" si="194"/>
        <v>0.95594100722572595</v>
      </c>
      <c r="I1750" s="7">
        <f t="shared" si="194"/>
        <v>0.20589219339474388</v>
      </c>
      <c r="K1750" s="7">
        <f t="shared" si="195"/>
        <v>11.292633864796596</v>
      </c>
      <c r="L1750" s="7">
        <f t="shared" si="195"/>
        <v>0.95594100722572595</v>
      </c>
      <c r="M1750" s="7">
        <f t="shared" si="195"/>
        <v>0.20589219339474388</v>
      </c>
      <c r="O1750" s="7">
        <f t="shared" si="196"/>
        <v>10.395533904975318</v>
      </c>
      <c r="P1750" s="7">
        <f t="shared" si="196"/>
        <v>1.1744351146413592</v>
      </c>
      <c r="Q1750" s="7">
        <f t="shared" si="196"/>
        <v>0.15184832202139595</v>
      </c>
      <c r="S1750" s="7">
        <f t="shared" si="197"/>
        <v>10.395533904975318</v>
      </c>
      <c r="T1750" s="7">
        <f t="shared" si="197"/>
        <v>1.1744351146413592</v>
      </c>
      <c r="U1750" s="7">
        <f t="shared" si="197"/>
        <v>0.15184832202139595</v>
      </c>
      <c r="W1750" s="7">
        <f t="shared" si="198"/>
        <v>11.292633864796596</v>
      </c>
      <c r="X1750" s="7">
        <f t="shared" si="198"/>
        <v>0.95594100722572595</v>
      </c>
      <c r="Y1750" s="7">
        <f t="shared" si="198"/>
        <v>0.20589219339474388</v>
      </c>
      <c r="AA1750" s="7">
        <f t="shared" si="199"/>
        <v>10.395533904975318</v>
      </c>
      <c r="AB1750" s="7">
        <f t="shared" si="199"/>
        <v>1.1744351146413592</v>
      </c>
      <c r="AC1750" s="7">
        <f t="shared" si="199"/>
        <v>0.15184832202139595</v>
      </c>
      <c r="AE1750" s="7">
        <f t="shared" si="200"/>
        <v>10.395533904975318</v>
      </c>
      <c r="AF1750" s="7">
        <f t="shared" si="200"/>
        <v>1.1744351146413592</v>
      </c>
      <c r="AG1750" s="7">
        <f t="shared" si="200"/>
        <v>0.15184832202139595</v>
      </c>
      <c r="AI1750" s="7">
        <f t="shared" si="201"/>
        <v>10.395533904975318</v>
      </c>
      <c r="AJ1750" s="7">
        <f t="shared" si="201"/>
        <v>1.1744351146413592</v>
      </c>
      <c r="AK1750" s="7">
        <f t="shared" si="201"/>
        <v>0.15184832202139595</v>
      </c>
      <c r="AL1750" s="10"/>
    </row>
    <row r="1751" spans="1:38">
      <c r="A1751" s="11" t="s">
        <v>110</v>
      </c>
      <c r="C1751" s="7">
        <f t="shared" si="193"/>
        <v>10.64481388749317</v>
      </c>
      <c r="D1751" s="7">
        <f t="shared" si="193"/>
        <v>1.0736086244395517</v>
      </c>
      <c r="E1751" s="7">
        <f t="shared" si="193"/>
        <v>1.6233131972579164E-2</v>
      </c>
      <c r="G1751" s="7">
        <f t="shared" si="194"/>
        <v>10.525600643977812</v>
      </c>
      <c r="H1751" s="7">
        <f t="shared" si="194"/>
        <v>0.89101031714368228</v>
      </c>
      <c r="I1751" s="7">
        <f t="shared" si="194"/>
        <v>0.19190731137945696</v>
      </c>
      <c r="K1751" s="7">
        <f t="shared" si="195"/>
        <v>10.525600643977812</v>
      </c>
      <c r="L1751" s="7">
        <f t="shared" si="195"/>
        <v>0.89101031714368228</v>
      </c>
      <c r="M1751" s="7">
        <f t="shared" si="195"/>
        <v>0.19190731137945696</v>
      </c>
      <c r="O1751" s="7">
        <f t="shared" si="196"/>
        <v>9.689434694752876</v>
      </c>
      <c r="P1751" s="7">
        <f t="shared" si="196"/>
        <v>1.0946635786638876</v>
      </c>
      <c r="Q1751" s="7">
        <f t="shared" si="196"/>
        <v>0.14153427935336185</v>
      </c>
      <c r="S1751" s="7">
        <f t="shared" si="197"/>
        <v>9.689434694752876</v>
      </c>
      <c r="T1751" s="7">
        <f t="shared" si="197"/>
        <v>1.0946635786638876</v>
      </c>
      <c r="U1751" s="7">
        <f t="shared" si="197"/>
        <v>0.14153427935336185</v>
      </c>
      <c r="W1751" s="7">
        <f t="shared" si="198"/>
        <v>10.525600643977812</v>
      </c>
      <c r="X1751" s="7">
        <f t="shared" si="198"/>
        <v>0.89101031714368228</v>
      </c>
      <c r="Y1751" s="7">
        <f t="shared" si="198"/>
        <v>0.19190731137945696</v>
      </c>
      <c r="AA1751" s="7">
        <f t="shared" si="199"/>
        <v>9.689434694752876</v>
      </c>
      <c r="AB1751" s="7">
        <f t="shared" si="199"/>
        <v>1.0946635786638876</v>
      </c>
      <c r="AC1751" s="7">
        <f t="shared" si="199"/>
        <v>0.14153427935336185</v>
      </c>
      <c r="AE1751" s="7">
        <f t="shared" si="200"/>
        <v>9.689434694752876</v>
      </c>
      <c r="AF1751" s="7">
        <f t="shared" si="200"/>
        <v>1.0946635786638876</v>
      </c>
      <c r="AG1751" s="7">
        <f t="shared" si="200"/>
        <v>0.14153427935336185</v>
      </c>
      <c r="AI1751" s="7">
        <f t="shared" si="201"/>
        <v>9.689434694752876</v>
      </c>
      <c r="AJ1751" s="7">
        <f t="shared" si="201"/>
        <v>1.0946635786638876</v>
      </c>
      <c r="AK1751" s="7">
        <f t="shared" si="201"/>
        <v>0.14153427935336185</v>
      </c>
      <c r="AL1751" s="10"/>
    </row>
    <row r="1752" spans="1:38">
      <c r="A1752" s="11" t="s">
        <v>1647</v>
      </c>
      <c r="C1752" s="7">
        <f>C$1730</f>
        <v>11.827180024070218</v>
      </c>
      <c r="D1752" s="7">
        <f>D$1730</f>
        <v>1.1928590401716519</v>
      </c>
      <c r="E1752" s="7">
        <f>E$1730</f>
        <v>1.8036217093448652E-2</v>
      </c>
      <c r="G1752" s="7">
        <f>G$1730</f>
        <v>11.932878303291826</v>
      </c>
      <c r="H1752" s="7">
        <f>H$1730</f>
        <v>1.0101388073787751</v>
      </c>
      <c r="I1752" s="7">
        <f>I$1730</f>
        <v>0.21756540739679406</v>
      </c>
      <c r="K1752" s="7">
        <f>K$1730</f>
        <v>11.932878303291826</v>
      </c>
      <c r="L1752" s="7">
        <f>L$1730</f>
        <v>1.0101388073787751</v>
      </c>
      <c r="M1752" s="7">
        <f>M$1730</f>
        <v>0.21756540739679406</v>
      </c>
      <c r="O1752" s="7">
        <f>O$1730</f>
        <v>11.056176440093349</v>
      </c>
      <c r="P1752" s="7">
        <f>P$1730</f>
        <v>1.2490711841843545</v>
      </c>
      <c r="Q1752" s="7">
        <f>Q$1730</f>
        <v>0.16149837572047743</v>
      </c>
      <c r="S1752" s="7">
        <f>S$1730</f>
        <v>11.056176440093349</v>
      </c>
      <c r="T1752" s="7">
        <f>T$1730</f>
        <v>1.2490711841843545</v>
      </c>
      <c r="U1752" s="7">
        <f>U$1730</f>
        <v>0.16149837572047743</v>
      </c>
      <c r="W1752" s="7">
        <f>W$1730</f>
        <v>11.932878303291826</v>
      </c>
      <c r="X1752" s="7">
        <f>X$1730</f>
        <v>1.0101388073787751</v>
      </c>
      <c r="Y1752" s="7">
        <f>Y$1730</f>
        <v>0.21756540739679406</v>
      </c>
      <c r="AA1752" s="7">
        <f>AA$1730</f>
        <v>11.056176440093349</v>
      </c>
      <c r="AB1752" s="7">
        <f>AB$1730</f>
        <v>1.2490711841843545</v>
      </c>
      <c r="AC1752" s="7">
        <f>AC$1730</f>
        <v>0.16149837572047743</v>
      </c>
      <c r="AE1752" s="7">
        <f>AE$1730</f>
        <v>11.056176440093349</v>
      </c>
      <c r="AF1752" s="7">
        <f>AF$1730</f>
        <v>1.2490711841843545</v>
      </c>
      <c r="AG1752" s="7">
        <f>AG$1730</f>
        <v>0.16149837572047743</v>
      </c>
      <c r="AI1752" s="7">
        <f>AI$1730</f>
        <v>11.056176440093349</v>
      </c>
      <c r="AJ1752" s="7">
        <f>AJ$1730</f>
        <v>1.2490711841843545</v>
      </c>
      <c r="AK1752" s="7">
        <f>AK$1730</f>
        <v>0.16149837572047743</v>
      </c>
      <c r="AL1752" s="10"/>
    </row>
    <row r="1753" spans="1:38">
      <c r="A1753" s="11" t="s">
        <v>1646</v>
      </c>
      <c r="C1753" s="7">
        <f>C$1731</f>
        <v>11.858462129703129</v>
      </c>
      <c r="D1753" s="7">
        <f>D$1731</f>
        <v>1.1960140731062889</v>
      </c>
      <c r="E1753" s="7">
        <f>E$1731</f>
        <v>1.8083921689741864E-2</v>
      </c>
      <c r="G1753" s="7">
        <f>G$1731</f>
        <v>12.084456550036018</v>
      </c>
      <c r="H1753" s="7">
        <f>H$1731</f>
        <v>1.0229701683881727</v>
      </c>
      <c r="I1753" s="7">
        <f>I$1731</f>
        <v>0.22032904766590619</v>
      </c>
      <c r="K1753" s="7">
        <f>K$1731</f>
        <v>12.084456550036018</v>
      </c>
      <c r="L1753" s="7">
        <f>L$1731</f>
        <v>1.0229701683881727</v>
      </c>
      <c r="M1753" s="7">
        <f>M$1731</f>
        <v>0.22032904766590619</v>
      </c>
      <c r="O1753" s="7">
        <f>O$1731</f>
        <v>10.868156166898114</v>
      </c>
      <c r="P1753" s="7">
        <f>P$1731</f>
        <v>1.2278295997574824</v>
      </c>
      <c r="Q1753" s="7">
        <f>Q$1731</f>
        <v>0.15875194987533287</v>
      </c>
      <c r="S1753" s="7">
        <f>S$1731</f>
        <v>10.868156166898114</v>
      </c>
      <c r="T1753" s="7">
        <f>T$1731</f>
        <v>1.2278295997574824</v>
      </c>
      <c r="U1753" s="7">
        <f>U$1731</f>
        <v>0.15875194987533287</v>
      </c>
      <c r="W1753" s="7">
        <f>W$1731</f>
        <v>12.084456550036018</v>
      </c>
      <c r="X1753" s="7">
        <f>X$1731</f>
        <v>1.0229701683881727</v>
      </c>
      <c r="Y1753" s="7">
        <f>Y$1731</f>
        <v>0.22032904766590619</v>
      </c>
      <c r="AA1753" s="7">
        <f>AA$1731</f>
        <v>10.868156166898114</v>
      </c>
      <c r="AB1753" s="7">
        <f>AB$1731</f>
        <v>1.2278295997574824</v>
      </c>
      <c r="AC1753" s="7">
        <f>AC$1731</f>
        <v>0.15875194987533287</v>
      </c>
      <c r="AE1753" s="7">
        <f>AE$1731</f>
        <v>10.868156166898114</v>
      </c>
      <c r="AF1753" s="7">
        <f>AF$1731</f>
        <v>1.2278295997574824</v>
      </c>
      <c r="AG1753" s="7">
        <f>AG$1731</f>
        <v>0.15875194987533287</v>
      </c>
      <c r="AI1753" s="7">
        <f>AI$1731</f>
        <v>10.868156166898114</v>
      </c>
      <c r="AJ1753" s="7">
        <f>AJ$1731</f>
        <v>1.2278295997574824</v>
      </c>
      <c r="AK1753" s="7">
        <f>AK$1731</f>
        <v>0.15875194987533287</v>
      </c>
      <c r="AL1753" s="10"/>
    </row>
    <row r="1754" spans="1:38">
      <c r="A1754" s="11" t="s">
        <v>98</v>
      </c>
      <c r="C1754" s="7">
        <f t="shared" ref="C1754:E1759" si="202">C1482</f>
        <v>9.8306813190055813</v>
      </c>
      <c r="D1754" s="7">
        <f t="shared" si="202"/>
        <v>0.99149730185528839</v>
      </c>
      <c r="E1754" s="7">
        <f t="shared" si="202"/>
        <v>1.499159580603693E-2</v>
      </c>
      <c r="G1754" s="7">
        <f t="shared" ref="G1754:I1759" si="203">G1482</f>
        <v>9.7205856970068343</v>
      </c>
      <c r="H1754" s="7">
        <f t="shared" si="203"/>
        <v>0.82286440818632456</v>
      </c>
      <c r="I1754" s="7">
        <f t="shared" si="203"/>
        <v>0.17722993007657931</v>
      </c>
      <c r="K1754" s="7">
        <f t="shared" ref="K1754:M1759" si="204">K1482</f>
        <v>9.7205856970068343</v>
      </c>
      <c r="L1754" s="7">
        <f t="shared" si="204"/>
        <v>0.82286440818632456</v>
      </c>
      <c r="M1754" s="7">
        <f t="shared" si="204"/>
        <v>0.17722993007657931</v>
      </c>
      <c r="O1754" s="7">
        <f t="shared" ref="O1754:Q1759" si="205">O1482</f>
        <v>8.9483710708505111</v>
      </c>
      <c r="P1754" s="7">
        <f t="shared" si="205"/>
        <v>1.0109419391550429</v>
      </c>
      <c r="Q1754" s="7">
        <f t="shared" si="205"/>
        <v>0.13070950894432953</v>
      </c>
      <c r="S1754" s="7">
        <f t="shared" ref="S1754:U1759" si="206">S1482</f>
        <v>8.9483710708505111</v>
      </c>
      <c r="T1754" s="7">
        <f t="shared" si="206"/>
        <v>1.0109419391550429</v>
      </c>
      <c r="U1754" s="7">
        <f t="shared" si="206"/>
        <v>0.13070950894432953</v>
      </c>
      <c r="W1754" s="7">
        <f t="shared" ref="W1754:Y1759" si="207">W1482</f>
        <v>9.7205856970068343</v>
      </c>
      <c r="X1754" s="7">
        <f t="shared" si="207"/>
        <v>0.82286440818632456</v>
      </c>
      <c r="Y1754" s="7">
        <f t="shared" si="207"/>
        <v>0.17722993007657931</v>
      </c>
      <c r="AA1754" s="7">
        <f t="shared" ref="AA1754:AC1759" si="208">AA1482</f>
        <v>8.9483710708505111</v>
      </c>
      <c r="AB1754" s="7">
        <f t="shared" si="208"/>
        <v>1.0109419391550429</v>
      </c>
      <c r="AC1754" s="7">
        <f t="shared" si="208"/>
        <v>0.13070950894432953</v>
      </c>
      <c r="AE1754" s="7">
        <f t="shared" ref="AE1754:AG1759" si="209">AE1482</f>
        <v>8.9483710708505111</v>
      </c>
      <c r="AF1754" s="7">
        <f t="shared" si="209"/>
        <v>1.0109419391550429</v>
      </c>
      <c r="AG1754" s="7">
        <f t="shared" si="209"/>
        <v>0.13070950894432953</v>
      </c>
      <c r="AI1754" s="7">
        <f t="shared" ref="AI1754:AK1759" si="210">AI1482</f>
        <v>8.9483710708505111</v>
      </c>
      <c r="AJ1754" s="7">
        <f t="shared" si="210"/>
        <v>1.0109419391550429</v>
      </c>
      <c r="AK1754" s="7">
        <f t="shared" si="210"/>
        <v>0.13070950894432953</v>
      </c>
      <c r="AL1754" s="10"/>
    </row>
    <row r="1755" spans="1:38">
      <c r="A1755" s="11" t="s">
        <v>99</v>
      </c>
      <c r="C1755" s="7">
        <f t="shared" si="202"/>
        <v>8.8830969393094499</v>
      </c>
      <c r="D1755" s="7">
        <f t="shared" si="202"/>
        <v>0.89592637190025537</v>
      </c>
      <c r="E1755" s="7">
        <f t="shared" si="202"/>
        <v>1.3546548250171734E-2</v>
      </c>
      <c r="G1755" s="7">
        <f t="shared" si="203"/>
        <v>8.7836134903934795</v>
      </c>
      <c r="H1755" s="7">
        <f t="shared" si="203"/>
        <v>0.74354808874691691</v>
      </c>
      <c r="I1755" s="7">
        <f t="shared" si="203"/>
        <v>0.16014664684263635</v>
      </c>
      <c r="K1755" s="7">
        <f t="shared" si="204"/>
        <v>8.7836134903934795</v>
      </c>
      <c r="L1755" s="7">
        <f t="shared" si="204"/>
        <v>0.74354808874691691</v>
      </c>
      <c r="M1755" s="7">
        <f t="shared" si="204"/>
        <v>0.16014664684263635</v>
      </c>
      <c r="O1755" s="7">
        <f t="shared" si="205"/>
        <v>8.085833025387716</v>
      </c>
      <c r="P1755" s="7">
        <f t="shared" si="205"/>
        <v>0.91349673070636361</v>
      </c>
      <c r="Q1755" s="7">
        <f t="shared" si="205"/>
        <v>0.11811035279897221</v>
      </c>
      <c r="S1755" s="7">
        <f t="shared" si="206"/>
        <v>8.085833025387716</v>
      </c>
      <c r="T1755" s="7">
        <f t="shared" si="206"/>
        <v>0.91349673070636361</v>
      </c>
      <c r="U1755" s="7">
        <f t="shared" si="206"/>
        <v>0.11811035279897221</v>
      </c>
      <c r="W1755" s="7">
        <f t="shared" si="207"/>
        <v>8.7836134903934795</v>
      </c>
      <c r="X1755" s="7">
        <f t="shared" si="207"/>
        <v>0.74354808874691691</v>
      </c>
      <c r="Y1755" s="7">
        <f t="shared" si="207"/>
        <v>0.16014664684263635</v>
      </c>
      <c r="AA1755" s="7">
        <f t="shared" si="208"/>
        <v>8.085833025387716</v>
      </c>
      <c r="AB1755" s="7">
        <f t="shared" si="208"/>
        <v>0.91349673070636361</v>
      </c>
      <c r="AC1755" s="7">
        <f t="shared" si="208"/>
        <v>0.11811035279897221</v>
      </c>
      <c r="AE1755" s="7">
        <f t="shared" si="209"/>
        <v>8.085833025387716</v>
      </c>
      <c r="AF1755" s="7">
        <f t="shared" si="209"/>
        <v>0.91349673070636361</v>
      </c>
      <c r="AG1755" s="7">
        <f t="shared" si="209"/>
        <v>0.11811035279897221</v>
      </c>
      <c r="AI1755" s="7">
        <f t="shared" si="210"/>
        <v>8.085833025387716</v>
      </c>
      <c r="AJ1755" s="7">
        <f t="shared" si="210"/>
        <v>0.91349673070636361</v>
      </c>
      <c r="AK1755" s="7">
        <f t="shared" si="210"/>
        <v>0.11811035279897221</v>
      </c>
      <c r="AL1755" s="10"/>
    </row>
    <row r="1756" spans="1:38">
      <c r="A1756" s="11" t="s">
        <v>111</v>
      </c>
      <c r="C1756" s="7">
        <f t="shared" si="202"/>
        <v>9.2102266816245084</v>
      </c>
      <c r="D1756" s="7">
        <f t="shared" si="202"/>
        <v>0.92891983861297811</v>
      </c>
      <c r="E1756" s="7">
        <f t="shared" si="202"/>
        <v>1.4045414678019324E-2</v>
      </c>
      <c r="G1756" s="7">
        <f t="shared" si="203"/>
        <v>9.1070796460978301</v>
      </c>
      <c r="H1756" s="7">
        <f t="shared" si="203"/>
        <v>0.77093005883375265</v>
      </c>
      <c r="I1756" s="7">
        <f t="shared" si="203"/>
        <v>0.16604422194197158</v>
      </c>
      <c r="K1756" s="7">
        <f t="shared" si="204"/>
        <v>9.1070796460978301</v>
      </c>
      <c r="L1756" s="7">
        <f t="shared" si="204"/>
        <v>0.77093005883375265</v>
      </c>
      <c r="M1756" s="7">
        <f t="shared" si="204"/>
        <v>0.16604422194197158</v>
      </c>
      <c r="O1756" s="7">
        <f t="shared" si="205"/>
        <v>8.3836026537132291</v>
      </c>
      <c r="P1756" s="7">
        <f t="shared" si="205"/>
        <v>0.94713724506338159</v>
      </c>
      <c r="Q1756" s="7">
        <f t="shared" si="205"/>
        <v>0.12245989547984631</v>
      </c>
      <c r="S1756" s="7">
        <f t="shared" si="206"/>
        <v>8.3836026537132291</v>
      </c>
      <c r="T1756" s="7">
        <f t="shared" si="206"/>
        <v>0.94713724506338159</v>
      </c>
      <c r="U1756" s="7">
        <f t="shared" si="206"/>
        <v>0.12245989547984631</v>
      </c>
      <c r="W1756" s="7">
        <f t="shared" si="207"/>
        <v>9.1070796460978301</v>
      </c>
      <c r="X1756" s="7">
        <f t="shared" si="207"/>
        <v>0.77093005883375265</v>
      </c>
      <c r="Y1756" s="7">
        <f t="shared" si="207"/>
        <v>0.16604422194197158</v>
      </c>
      <c r="AA1756" s="7">
        <f t="shared" si="208"/>
        <v>8.3836026537132291</v>
      </c>
      <c r="AB1756" s="7">
        <f t="shared" si="208"/>
        <v>0.94713724506338159</v>
      </c>
      <c r="AC1756" s="7">
        <f t="shared" si="208"/>
        <v>0.12245989547984631</v>
      </c>
      <c r="AE1756" s="7">
        <f t="shared" si="209"/>
        <v>8.3836026537132291</v>
      </c>
      <c r="AF1756" s="7">
        <f t="shared" si="209"/>
        <v>0.94713724506338159</v>
      </c>
      <c r="AG1756" s="7">
        <f t="shared" si="209"/>
        <v>0.12245989547984631</v>
      </c>
      <c r="AI1756" s="7">
        <f t="shared" si="210"/>
        <v>8.3836026537132291</v>
      </c>
      <c r="AJ1756" s="7">
        <f t="shared" si="210"/>
        <v>0.94713724506338159</v>
      </c>
      <c r="AK1756" s="7">
        <f t="shared" si="210"/>
        <v>0.12245989547984631</v>
      </c>
      <c r="AL1756" s="10"/>
    </row>
    <row r="1757" spans="1:38">
      <c r="A1757" s="11" t="s">
        <v>102</v>
      </c>
      <c r="C1757" s="7">
        <f t="shared" si="202"/>
        <v>-8.4325219101767992</v>
      </c>
      <c r="D1757" s="7">
        <f t="shared" si="202"/>
        <v>-0.85048253019981268</v>
      </c>
      <c r="E1757" s="7">
        <f t="shared" si="202"/>
        <v>-1.2859430186036044E-2</v>
      </c>
      <c r="G1757" s="7">
        <f t="shared" si="203"/>
        <v>-8.3380845345165628</v>
      </c>
      <c r="H1757" s="7">
        <f t="shared" si="203"/>
        <v>-0.70583329130210692</v>
      </c>
      <c r="I1757" s="7">
        <f t="shared" si="203"/>
        <v>-0.15202356988427249</v>
      </c>
      <c r="K1757" s="7">
        <f t="shared" si="204"/>
        <v>-8.3380845345165628</v>
      </c>
      <c r="L1757" s="7">
        <f t="shared" si="204"/>
        <v>-0.70583329130210692</v>
      </c>
      <c r="M1757" s="7">
        <f t="shared" si="204"/>
        <v>-0.15202356988427249</v>
      </c>
      <c r="O1757" s="7">
        <f t="shared" si="205"/>
        <v>-7.6756974076108113</v>
      </c>
      <c r="P1757" s="7">
        <f t="shared" si="205"/>
        <v>-0.86716167223940099</v>
      </c>
      <c r="Q1757" s="7">
        <f t="shared" si="205"/>
        <v>-0.11211947191397745</v>
      </c>
      <c r="S1757" s="7">
        <f t="shared" si="206"/>
        <v>-7.6756974076108113</v>
      </c>
      <c r="T1757" s="7">
        <f t="shared" si="206"/>
        <v>-0.86716167223940099</v>
      </c>
      <c r="U1757" s="7">
        <f t="shared" si="206"/>
        <v>-0.11211947191397745</v>
      </c>
      <c r="W1757" s="7">
        <f t="shared" si="207"/>
        <v>-8.3380845345165628</v>
      </c>
      <c r="X1757" s="7">
        <f t="shared" si="207"/>
        <v>-0.70583329130210692</v>
      </c>
      <c r="Y1757" s="7">
        <f t="shared" si="207"/>
        <v>-0.15202356988427249</v>
      </c>
      <c r="AA1757" s="7">
        <f t="shared" si="208"/>
        <v>-7.6756974076108113</v>
      </c>
      <c r="AB1757" s="7">
        <f t="shared" si="208"/>
        <v>-0.86716167223940099</v>
      </c>
      <c r="AC1757" s="7">
        <f t="shared" si="208"/>
        <v>-0.11211947191397745</v>
      </c>
      <c r="AE1757" s="7">
        <f t="shared" si="209"/>
        <v>-7.6756974076108113</v>
      </c>
      <c r="AF1757" s="7">
        <f t="shared" si="209"/>
        <v>-0.86716167223940099</v>
      </c>
      <c r="AG1757" s="7">
        <f t="shared" si="209"/>
        <v>-0.11211947191397745</v>
      </c>
      <c r="AI1757" s="7">
        <f t="shared" si="210"/>
        <v>-7.6756974076108113</v>
      </c>
      <c r="AJ1757" s="7">
        <f t="shared" si="210"/>
        <v>-0.86716167223940099</v>
      </c>
      <c r="AK1757" s="7">
        <f t="shared" si="210"/>
        <v>-0.11211947191397745</v>
      </c>
      <c r="AL1757" s="10"/>
    </row>
    <row r="1758" spans="1:38">
      <c r="A1758" s="11" t="s">
        <v>104</v>
      </c>
      <c r="C1758" s="7">
        <f t="shared" si="202"/>
        <v>-8.4325219101767992</v>
      </c>
      <c r="D1758" s="7">
        <f t="shared" si="202"/>
        <v>-0.85048253019981268</v>
      </c>
      <c r="E1758" s="7">
        <f t="shared" si="202"/>
        <v>-1.2859430186036044E-2</v>
      </c>
      <c r="G1758" s="7">
        <f t="shared" si="203"/>
        <v>-8.3380845345165628</v>
      </c>
      <c r="H1758" s="7">
        <f t="shared" si="203"/>
        <v>-0.70583329130210692</v>
      </c>
      <c r="I1758" s="7">
        <f t="shared" si="203"/>
        <v>-0.15202356988427249</v>
      </c>
      <c r="K1758" s="7">
        <f t="shared" si="204"/>
        <v>-8.3380845345165628</v>
      </c>
      <c r="L1758" s="7">
        <f t="shared" si="204"/>
        <v>-0.70583329130210692</v>
      </c>
      <c r="M1758" s="7">
        <f t="shared" si="204"/>
        <v>-0.15202356988427249</v>
      </c>
      <c r="O1758" s="7">
        <f t="shared" si="205"/>
        <v>-7.6756974076108113</v>
      </c>
      <c r="P1758" s="7">
        <f t="shared" si="205"/>
        <v>-0.86716167223940099</v>
      </c>
      <c r="Q1758" s="7">
        <f t="shared" si="205"/>
        <v>-0.11211947191397745</v>
      </c>
      <c r="S1758" s="7">
        <f t="shared" si="206"/>
        <v>-7.6756974076108113</v>
      </c>
      <c r="T1758" s="7">
        <f t="shared" si="206"/>
        <v>-0.86716167223940099</v>
      </c>
      <c r="U1758" s="7">
        <f t="shared" si="206"/>
        <v>-0.11211947191397745</v>
      </c>
      <c r="W1758" s="7">
        <f t="shared" si="207"/>
        <v>-8.3380845345165628</v>
      </c>
      <c r="X1758" s="7">
        <f t="shared" si="207"/>
        <v>-0.70583329130210692</v>
      </c>
      <c r="Y1758" s="7">
        <f t="shared" si="207"/>
        <v>-0.15202356988427249</v>
      </c>
      <c r="AA1758" s="7">
        <f t="shared" si="208"/>
        <v>-7.6756974076108113</v>
      </c>
      <c r="AB1758" s="7">
        <f t="shared" si="208"/>
        <v>-0.86716167223940099</v>
      </c>
      <c r="AC1758" s="7">
        <f t="shared" si="208"/>
        <v>-0.11211947191397745</v>
      </c>
      <c r="AE1758" s="7">
        <f t="shared" si="209"/>
        <v>-7.6756974076108113</v>
      </c>
      <c r="AF1758" s="7">
        <f t="shared" si="209"/>
        <v>-0.86716167223940099</v>
      </c>
      <c r="AG1758" s="7">
        <f t="shared" si="209"/>
        <v>-0.11211947191397745</v>
      </c>
      <c r="AI1758" s="7">
        <f t="shared" si="210"/>
        <v>-7.6756974076108113</v>
      </c>
      <c r="AJ1758" s="7">
        <f t="shared" si="210"/>
        <v>-0.86716167223940099</v>
      </c>
      <c r="AK1758" s="7">
        <f t="shared" si="210"/>
        <v>-0.11211947191397745</v>
      </c>
      <c r="AL1758" s="10"/>
    </row>
    <row r="1759" spans="1:38">
      <c r="A1759" s="11" t="s">
        <v>113</v>
      </c>
      <c r="C1759" s="7">
        <f t="shared" si="202"/>
        <v>-8.4325219101767992</v>
      </c>
      <c r="D1759" s="7">
        <f t="shared" si="202"/>
        <v>-0.85048253019981268</v>
      </c>
      <c r="E1759" s="7">
        <f t="shared" si="202"/>
        <v>-1.2859430186036044E-2</v>
      </c>
      <c r="G1759" s="7">
        <f t="shared" si="203"/>
        <v>-8.3380845345165628</v>
      </c>
      <c r="H1759" s="7">
        <f t="shared" si="203"/>
        <v>-0.70583329130210692</v>
      </c>
      <c r="I1759" s="7">
        <f t="shared" si="203"/>
        <v>-0.15202356988427249</v>
      </c>
      <c r="K1759" s="7">
        <f t="shared" si="204"/>
        <v>-8.3380845345165628</v>
      </c>
      <c r="L1759" s="7">
        <f t="shared" si="204"/>
        <v>-0.70583329130210692</v>
      </c>
      <c r="M1759" s="7">
        <f t="shared" si="204"/>
        <v>-0.15202356988427249</v>
      </c>
      <c r="O1759" s="7">
        <f t="shared" si="205"/>
        <v>-7.6756974076108113</v>
      </c>
      <c r="P1759" s="7">
        <f t="shared" si="205"/>
        <v>-0.86716167223940099</v>
      </c>
      <c r="Q1759" s="7">
        <f t="shared" si="205"/>
        <v>-0.11211947191397745</v>
      </c>
      <c r="S1759" s="7">
        <f t="shared" si="206"/>
        <v>-7.6756974076108113</v>
      </c>
      <c r="T1759" s="7">
        <f t="shared" si="206"/>
        <v>-0.86716167223940099</v>
      </c>
      <c r="U1759" s="7">
        <f t="shared" si="206"/>
        <v>-0.11211947191397745</v>
      </c>
      <c r="W1759" s="7">
        <f t="shared" si="207"/>
        <v>-8.3380845345165628</v>
      </c>
      <c r="X1759" s="7">
        <f t="shared" si="207"/>
        <v>-0.70583329130210692</v>
      </c>
      <c r="Y1759" s="7">
        <f t="shared" si="207"/>
        <v>-0.15202356988427249</v>
      </c>
      <c r="AA1759" s="7">
        <f t="shared" si="208"/>
        <v>-7.6756974076108113</v>
      </c>
      <c r="AB1759" s="7">
        <f t="shared" si="208"/>
        <v>-0.86716167223940099</v>
      </c>
      <c r="AC1759" s="7">
        <f t="shared" si="208"/>
        <v>-0.11211947191397745</v>
      </c>
      <c r="AE1759" s="7">
        <f t="shared" si="209"/>
        <v>-7.6756974076108113</v>
      </c>
      <c r="AF1759" s="7">
        <f t="shared" si="209"/>
        <v>-0.86716167223940099</v>
      </c>
      <c r="AG1759" s="7">
        <f t="shared" si="209"/>
        <v>-0.11211947191397745</v>
      </c>
      <c r="AI1759" s="7">
        <f t="shared" si="210"/>
        <v>-7.6756974076108113</v>
      </c>
      <c r="AJ1759" s="7">
        <f t="shared" si="210"/>
        <v>-0.86716167223940099</v>
      </c>
      <c r="AK1759" s="7">
        <f t="shared" si="210"/>
        <v>-0.11211947191397745</v>
      </c>
      <c r="AL1759" s="10"/>
    </row>
    <row r="1761" spans="1:11" ht="21" customHeight="1">
      <c r="A1761" s="1" t="s">
        <v>1757</v>
      </c>
    </row>
    <row r="1762" spans="1:11">
      <c r="A1762" s="2" t="s">
        <v>255</v>
      </c>
    </row>
    <row r="1763" spans="1:11">
      <c r="A1763" s="12" t="s">
        <v>1754</v>
      </c>
    </row>
    <row r="1764" spans="1:11">
      <c r="A1764" s="12" t="s">
        <v>506</v>
      </c>
    </row>
    <row r="1765" spans="1:11">
      <c r="A1765" s="2" t="s">
        <v>268</v>
      </c>
    </row>
    <row r="1767" spans="1:11">
      <c r="B1767" s="3" t="s">
        <v>60</v>
      </c>
      <c r="C1767" s="3" t="s">
        <v>61</v>
      </c>
      <c r="D1767" s="3" t="s">
        <v>62</v>
      </c>
      <c r="E1767" s="3" t="s">
        <v>63</v>
      </c>
      <c r="F1767" s="3" t="s">
        <v>64</v>
      </c>
      <c r="G1767" s="3" t="s">
        <v>69</v>
      </c>
      <c r="H1767" s="3" t="s">
        <v>65</v>
      </c>
      <c r="I1767" s="3" t="s">
        <v>66</v>
      </c>
      <c r="J1767" s="3" t="s">
        <v>67</v>
      </c>
    </row>
    <row r="1768" spans="1:11">
      <c r="A1768" s="11" t="s">
        <v>92</v>
      </c>
      <c r="B1768" s="6">
        <f t="shared" ref="B1768:B1784" si="211">SUMPRODUCT($C1743:$E1743,$B1240:$D1240)</f>
        <v>1.9489215874029311</v>
      </c>
      <c r="C1768" s="6">
        <f t="shared" ref="C1768:C1784" si="212">SUMPRODUCT($G1743:$I1743,$B1240:$D1240)</f>
        <v>1.9489215874029311</v>
      </c>
      <c r="D1768" s="6">
        <f t="shared" ref="D1768:D1784" si="213">SUMPRODUCT($K1743:$M1743,$B1240:$D1240)</f>
        <v>1.9489215874029311</v>
      </c>
      <c r="E1768" s="6">
        <f t="shared" ref="E1768:E1784" si="214">SUMPRODUCT($O1743:$Q1743,$B1240:$D1240)</f>
        <v>1.9489215874029311</v>
      </c>
      <c r="F1768" s="6">
        <f t="shared" ref="F1768:F1784" si="215">SUMPRODUCT($S1743:$U1743,$B1240:$D1240)</f>
        <v>1.9489215874029311</v>
      </c>
      <c r="G1768" s="6">
        <f t="shared" ref="G1768:G1784" si="216">SUMPRODUCT($W1743:$Y1743,$B1240:$D1240)</f>
        <v>1.9489215874029311</v>
      </c>
      <c r="H1768" s="6">
        <f t="shared" ref="H1768:H1784" si="217">SUMPRODUCT($AA1743:$AC1743,$B1240:$D1240)</f>
        <v>1.9489215874029311</v>
      </c>
      <c r="I1768" s="6">
        <f t="shared" ref="I1768:I1784" si="218">SUMPRODUCT($AE1743:$AG1743,$B1240:$D1240)</f>
        <v>1.9489215874029311</v>
      </c>
      <c r="J1768" s="6">
        <f t="shared" ref="J1768:J1784" si="219">SUMPRODUCT($AI1743:$AK1743,$B1240:$D1240)</f>
        <v>1.9489215874029311</v>
      </c>
      <c r="K1768" s="10"/>
    </row>
    <row r="1769" spans="1:11">
      <c r="A1769" s="11" t="s">
        <v>93</v>
      </c>
      <c r="B1769" s="6">
        <f t="shared" si="211"/>
        <v>2.152388128216201</v>
      </c>
      <c r="C1769" s="6">
        <f t="shared" si="212"/>
        <v>2.0780598612924694</v>
      </c>
      <c r="D1769" s="6">
        <f t="shared" si="213"/>
        <v>2.0780598612924694</v>
      </c>
      <c r="E1769" s="6">
        <f t="shared" si="214"/>
        <v>2.0692446871573242</v>
      </c>
      <c r="F1769" s="6">
        <f t="shared" si="215"/>
        <v>2.0692446871573242</v>
      </c>
      <c r="G1769" s="6">
        <f t="shared" si="216"/>
        <v>2.0780598612924694</v>
      </c>
      <c r="H1769" s="6">
        <f t="shared" si="217"/>
        <v>2.0692446871573242</v>
      </c>
      <c r="I1769" s="6">
        <f t="shared" si="218"/>
        <v>2.0692446871573242</v>
      </c>
      <c r="J1769" s="6">
        <f t="shared" si="219"/>
        <v>2.0692446871573242</v>
      </c>
      <c r="K1769" s="10"/>
    </row>
    <row r="1770" spans="1:11">
      <c r="A1770" s="11" t="s">
        <v>129</v>
      </c>
      <c r="B1770" s="6">
        <f t="shared" si="211"/>
        <v>0.15464303950647051</v>
      </c>
      <c r="C1770" s="6">
        <f t="shared" si="212"/>
        <v>0.24576712080787408</v>
      </c>
      <c r="D1770" s="6">
        <f t="shared" si="213"/>
        <v>0.24576712080787408</v>
      </c>
      <c r="E1770" s="6">
        <f t="shared" si="214"/>
        <v>0.23992468904727082</v>
      </c>
      <c r="F1770" s="6">
        <f t="shared" si="215"/>
        <v>0.23992468904727082</v>
      </c>
      <c r="G1770" s="6">
        <f t="shared" si="216"/>
        <v>0.24576712080787408</v>
      </c>
      <c r="H1770" s="6">
        <f t="shared" si="217"/>
        <v>0.23992468904727082</v>
      </c>
      <c r="I1770" s="6">
        <f t="shared" si="218"/>
        <v>0.23992468904727082</v>
      </c>
      <c r="J1770" s="6">
        <f t="shared" si="219"/>
        <v>0.23992468904727082</v>
      </c>
      <c r="K1770" s="10"/>
    </row>
    <row r="1771" spans="1:11">
      <c r="A1771" s="11" t="s">
        <v>94</v>
      </c>
      <c r="B1771" s="6">
        <f t="shared" si="211"/>
        <v>1.5328184166472327</v>
      </c>
      <c r="C1771" s="6">
        <f t="shared" si="212"/>
        <v>1.5328184166472327</v>
      </c>
      <c r="D1771" s="6">
        <f t="shared" si="213"/>
        <v>1.5328184166472327</v>
      </c>
      <c r="E1771" s="6">
        <f t="shared" si="214"/>
        <v>1.5328184166472327</v>
      </c>
      <c r="F1771" s="6">
        <f t="shared" si="215"/>
        <v>1.5328184166472327</v>
      </c>
      <c r="G1771" s="6">
        <f t="shared" si="216"/>
        <v>1.5328184166472327</v>
      </c>
      <c r="H1771" s="6">
        <f t="shared" si="217"/>
        <v>1.5328184166472327</v>
      </c>
      <c r="I1771" s="6">
        <f t="shared" si="218"/>
        <v>1.5328184166472327</v>
      </c>
      <c r="J1771" s="6">
        <f t="shared" si="219"/>
        <v>1.5328184166472327</v>
      </c>
      <c r="K1771" s="10"/>
    </row>
    <row r="1772" spans="1:11">
      <c r="A1772" s="11" t="s">
        <v>95</v>
      </c>
      <c r="B1772" s="6">
        <f t="shared" si="211"/>
        <v>2.0148471269674957</v>
      </c>
      <c r="C1772" s="6">
        <f t="shared" si="212"/>
        <v>1.913559456842681</v>
      </c>
      <c r="D1772" s="6">
        <f t="shared" si="213"/>
        <v>1.913559456842681</v>
      </c>
      <c r="E1772" s="6">
        <f t="shared" si="214"/>
        <v>1.958703253794486</v>
      </c>
      <c r="F1772" s="6">
        <f t="shared" si="215"/>
        <v>1.958703253794486</v>
      </c>
      <c r="G1772" s="6">
        <f t="shared" si="216"/>
        <v>1.913559456842681</v>
      </c>
      <c r="H1772" s="6">
        <f t="shared" si="217"/>
        <v>1.958703253794486</v>
      </c>
      <c r="I1772" s="6">
        <f t="shared" si="218"/>
        <v>1.958703253794486</v>
      </c>
      <c r="J1772" s="6">
        <f t="shared" si="219"/>
        <v>1.958703253794486</v>
      </c>
      <c r="K1772" s="10"/>
    </row>
    <row r="1773" spans="1:11">
      <c r="A1773" s="11" t="s">
        <v>130</v>
      </c>
      <c r="B1773" s="6">
        <f t="shared" si="211"/>
        <v>0.1624735292698678</v>
      </c>
      <c r="C1773" s="6">
        <f t="shared" si="212"/>
        <v>0.25117859381732904</v>
      </c>
      <c r="D1773" s="6">
        <f t="shared" si="213"/>
        <v>0.25117859381732904</v>
      </c>
      <c r="E1773" s="6">
        <f t="shared" si="214"/>
        <v>0.24698084995959274</v>
      </c>
      <c r="F1773" s="6">
        <f t="shared" si="215"/>
        <v>0.24698084995959274</v>
      </c>
      <c r="G1773" s="6">
        <f t="shared" si="216"/>
        <v>0.25117859381732904</v>
      </c>
      <c r="H1773" s="6">
        <f t="shared" si="217"/>
        <v>0.24698084995959274</v>
      </c>
      <c r="I1773" s="6">
        <f t="shared" si="218"/>
        <v>0.24698084995959274</v>
      </c>
      <c r="J1773" s="6">
        <f t="shared" si="219"/>
        <v>0.24698084995959274</v>
      </c>
      <c r="K1773" s="10"/>
    </row>
    <row r="1774" spans="1:11">
      <c r="A1774" s="11" t="s">
        <v>96</v>
      </c>
      <c r="B1774" s="6">
        <f t="shared" si="211"/>
        <v>1.8799690513510889</v>
      </c>
      <c r="C1774" s="6">
        <f t="shared" si="212"/>
        <v>1.7844715634795085</v>
      </c>
      <c r="D1774" s="6">
        <f t="shared" si="213"/>
        <v>1.7844715634795085</v>
      </c>
      <c r="E1774" s="6">
        <f t="shared" si="214"/>
        <v>1.824380678872223</v>
      </c>
      <c r="F1774" s="6">
        <f t="shared" si="215"/>
        <v>1.824380678872223</v>
      </c>
      <c r="G1774" s="6">
        <f t="shared" si="216"/>
        <v>1.7844715634795085</v>
      </c>
      <c r="H1774" s="6">
        <f t="shared" si="217"/>
        <v>1.824380678872223</v>
      </c>
      <c r="I1774" s="6">
        <f t="shared" si="218"/>
        <v>1.824380678872223</v>
      </c>
      <c r="J1774" s="6">
        <f t="shared" si="219"/>
        <v>1.824380678872223</v>
      </c>
      <c r="K1774" s="10"/>
    </row>
    <row r="1775" spans="1:11">
      <c r="A1775" s="11" t="s">
        <v>97</v>
      </c>
      <c r="B1775" s="6">
        <f t="shared" si="211"/>
        <v>1.9043545542702791</v>
      </c>
      <c r="C1775" s="6">
        <f t="shared" si="212"/>
        <v>1.8052787750234693</v>
      </c>
      <c r="D1775" s="6">
        <f t="shared" si="213"/>
        <v>1.8052787750234693</v>
      </c>
      <c r="E1775" s="6">
        <f t="shared" si="214"/>
        <v>1.8492630129801615</v>
      </c>
      <c r="F1775" s="6">
        <f t="shared" si="215"/>
        <v>1.8492630129801615</v>
      </c>
      <c r="G1775" s="6">
        <f t="shared" si="216"/>
        <v>1.8052787750234693</v>
      </c>
      <c r="H1775" s="6">
        <f t="shared" si="217"/>
        <v>1.8492630129801615</v>
      </c>
      <c r="I1775" s="6">
        <f t="shared" si="218"/>
        <v>1.8492630129801615</v>
      </c>
      <c r="J1775" s="6">
        <f t="shared" si="219"/>
        <v>1.8492630129801615</v>
      </c>
      <c r="K1775" s="10"/>
    </row>
    <row r="1776" spans="1:11">
      <c r="A1776" s="11" t="s">
        <v>110</v>
      </c>
      <c r="B1776" s="6">
        <f t="shared" si="211"/>
        <v>1.8029764748351051</v>
      </c>
      <c r="C1776" s="6">
        <f t="shared" si="212"/>
        <v>1.7005855627175228</v>
      </c>
      <c r="D1776" s="6">
        <f t="shared" si="213"/>
        <v>1.7005855627175228</v>
      </c>
      <c r="E1776" s="6">
        <f t="shared" si="214"/>
        <v>1.7488748114479484</v>
      </c>
      <c r="F1776" s="6">
        <f t="shared" si="215"/>
        <v>1.7488748114479484</v>
      </c>
      <c r="G1776" s="6">
        <f t="shared" si="216"/>
        <v>1.7005855627175228</v>
      </c>
      <c r="H1776" s="6">
        <f t="shared" si="217"/>
        <v>1.7488748114479484</v>
      </c>
      <c r="I1776" s="6">
        <f t="shared" si="218"/>
        <v>1.7488748114479484</v>
      </c>
      <c r="J1776" s="6">
        <f t="shared" si="219"/>
        <v>1.7488748114479484</v>
      </c>
      <c r="K1776" s="10"/>
    </row>
    <row r="1777" spans="1:11">
      <c r="A1777" s="11" t="s">
        <v>1647</v>
      </c>
      <c r="B1777" s="6">
        <f t="shared" si="211"/>
        <v>11.827180024070218</v>
      </c>
      <c r="C1777" s="6">
        <f t="shared" si="212"/>
        <v>11.932878303291826</v>
      </c>
      <c r="D1777" s="6">
        <f t="shared" si="213"/>
        <v>11.932878303291826</v>
      </c>
      <c r="E1777" s="6">
        <f t="shared" si="214"/>
        <v>11.056176440093349</v>
      </c>
      <c r="F1777" s="6">
        <f t="shared" si="215"/>
        <v>11.056176440093349</v>
      </c>
      <c r="G1777" s="6">
        <f t="shared" si="216"/>
        <v>11.932878303291826</v>
      </c>
      <c r="H1777" s="6">
        <f t="shared" si="217"/>
        <v>11.056176440093349</v>
      </c>
      <c r="I1777" s="6">
        <f t="shared" si="218"/>
        <v>11.056176440093349</v>
      </c>
      <c r="J1777" s="6">
        <f t="shared" si="219"/>
        <v>11.056176440093349</v>
      </c>
      <c r="K1777" s="10"/>
    </row>
    <row r="1778" spans="1:11">
      <c r="A1778" s="11" t="s">
        <v>1646</v>
      </c>
      <c r="B1778" s="6">
        <f t="shared" si="211"/>
        <v>11.858462129703129</v>
      </c>
      <c r="C1778" s="6">
        <f t="shared" si="212"/>
        <v>12.084456550036018</v>
      </c>
      <c r="D1778" s="6">
        <f t="shared" si="213"/>
        <v>12.084456550036018</v>
      </c>
      <c r="E1778" s="6">
        <f t="shared" si="214"/>
        <v>10.868156166898114</v>
      </c>
      <c r="F1778" s="6">
        <f t="shared" si="215"/>
        <v>10.868156166898114</v>
      </c>
      <c r="G1778" s="6">
        <f t="shared" si="216"/>
        <v>12.084456550036018</v>
      </c>
      <c r="H1778" s="6">
        <f t="shared" si="217"/>
        <v>10.868156166898114</v>
      </c>
      <c r="I1778" s="6">
        <f t="shared" si="218"/>
        <v>10.868156166898114</v>
      </c>
      <c r="J1778" s="6">
        <f t="shared" si="219"/>
        <v>10.868156166898114</v>
      </c>
      <c r="K1778" s="10"/>
    </row>
    <row r="1779" spans="1:11">
      <c r="A1779" s="11" t="s">
        <v>98</v>
      </c>
      <c r="B1779" s="6">
        <f t="shared" si="211"/>
        <v>9.8306813190055813</v>
      </c>
      <c r="C1779" s="6">
        <f t="shared" si="212"/>
        <v>9.7205856970068343</v>
      </c>
      <c r="D1779" s="6">
        <f t="shared" si="213"/>
        <v>9.7205856970068343</v>
      </c>
      <c r="E1779" s="6">
        <f t="shared" si="214"/>
        <v>8.9483710708505111</v>
      </c>
      <c r="F1779" s="6">
        <f t="shared" si="215"/>
        <v>8.9483710708505111</v>
      </c>
      <c r="G1779" s="6">
        <f t="shared" si="216"/>
        <v>9.7205856970068343</v>
      </c>
      <c r="H1779" s="6">
        <f t="shared" si="217"/>
        <v>8.9483710708505111</v>
      </c>
      <c r="I1779" s="6">
        <f t="shared" si="218"/>
        <v>8.9483710708505111</v>
      </c>
      <c r="J1779" s="6">
        <f t="shared" si="219"/>
        <v>8.9483710708505111</v>
      </c>
      <c r="K1779" s="10"/>
    </row>
    <row r="1780" spans="1:11">
      <c r="A1780" s="11" t="s">
        <v>99</v>
      </c>
      <c r="B1780" s="6">
        <f t="shared" si="211"/>
        <v>8.8830969393094499</v>
      </c>
      <c r="C1780" s="6">
        <f t="shared" si="212"/>
        <v>8.7836134903934795</v>
      </c>
      <c r="D1780" s="6">
        <f t="shared" si="213"/>
        <v>8.7836134903934795</v>
      </c>
      <c r="E1780" s="6">
        <f t="shared" si="214"/>
        <v>8.085833025387716</v>
      </c>
      <c r="F1780" s="6">
        <f t="shared" si="215"/>
        <v>8.085833025387716</v>
      </c>
      <c r="G1780" s="6">
        <f t="shared" si="216"/>
        <v>8.7836134903934795</v>
      </c>
      <c r="H1780" s="6">
        <f t="shared" si="217"/>
        <v>8.085833025387716</v>
      </c>
      <c r="I1780" s="6">
        <f t="shared" si="218"/>
        <v>8.085833025387716</v>
      </c>
      <c r="J1780" s="6">
        <f t="shared" si="219"/>
        <v>8.085833025387716</v>
      </c>
      <c r="K1780" s="10"/>
    </row>
    <row r="1781" spans="1:11">
      <c r="A1781" s="11" t="s">
        <v>111</v>
      </c>
      <c r="B1781" s="6">
        <f t="shared" si="211"/>
        <v>9.2102266816245084</v>
      </c>
      <c r="C1781" s="6">
        <f t="shared" si="212"/>
        <v>9.1070796460978301</v>
      </c>
      <c r="D1781" s="6">
        <f t="shared" si="213"/>
        <v>9.1070796460978301</v>
      </c>
      <c r="E1781" s="6">
        <f t="shared" si="214"/>
        <v>8.3836026537132291</v>
      </c>
      <c r="F1781" s="6">
        <f t="shared" si="215"/>
        <v>8.3836026537132291</v>
      </c>
      <c r="G1781" s="6">
        <f t="shared" si="216"/>
        <v>9.1070796460978301</v>
      </c>
      <c r="H1781" s="6">
        <f t="shared" si="217"/>
        <v>8.3836026537132291</v>
      </c>
      <c r="I1781" s="6">
        <f t="shared" si="218"/>
        <v>8.3836026537132291</v>
      </c>
      <c r="J1781" s="6">
        <f t="shared" si="219"/>
        <v>8.3836026537132291</v>
      </c>
      <c r="K1781" s="10"/>
    </row>
    <row r="1782" spans="1:11">
      <c r="A1782" s="11" t="s">
        <v>102</v>
      </c>
      <c r="B1782" s="6">
        <f t="shared" si="211"/>
        <v>-8.4325219101767992</v>
      </c>
      <c r="C1782" s="6">
        <f t="shared" si="212"/>
        <v>-8.3380845345165628</v>
      </c>
      <c r="D1782" s="6">
        <f t="shared" si="213"/>
        <v>-8.3380845345165628</v>
      </c>
      <c r="E1782" s="6">
        <f t="shared" si="214"/>
        <v>-7.6756974076108113</v>
      </c>
      <c r="F1782" s="6">
        <f t="shared" si="215"/>
        <v>-7.6756974076108113</v>
      </c>
      <c r="G1782" s="6">
        <f t="shared" si="216"/>
        <v>-8.3380845345165628</v>
      </c>
      <c r="H1782" s="6">
        <f t="shared" si="217"/>
        <v>-7.6756974076108113</v>
      </c>
      <c r="I1782" s="6">
        <f t="shared" si="218"/>
        <v>-7.6756974076108113</v>
      </c>
      <c r="J1782" s="6">
        <f t="shared" si="219"/>
        <v>-7.6756974076108113</v>
      </c>
      <c r="K1782" s="10"/>
    </row>
    <row r="1783" spans="1:11">
      <c r="A1783" s="11" t="s">
        <v>104</v>
      </c>
      <c r="B1783" s="6">
        <f t="shared" si="211"/>
        <v>-8.4325219101767992</v>
      </c>
      <c r="C1783" s="6">
        <f t="shared" si="212"/>
        <v>-8.3380845345165628</v>
      </c>
      <c r="D1783" s="6">
        <f t="shared" si="213"/>
        <v>-8.3380845345165628</v>
      </c>
      <c r="E1783" s="6">
        <f t="shared" si="214"/>
        <v>-7.6756974076108113</v>
      </c>
      <c r="F1783" s="6">
        <f t="shared" si="215"/>
        <v>-7.6756974076108113</v>
      </c>
      <c r="G1783" s="6">
        <f t="shared" si="216"/>
        <v>-8.3380845345165628</v>
      </c>
      <c r="H1783" s="6">
        <f t="shared" si="217"/>
        <v>-7.6756974076108113</v>
      </c>
      <c r="I1783" s="6">
        <f t="shared" si="218"/>
        <v>-7.6756974076108113</v>
      </c>
      <c r="J1783" s="6">
        <f t="shared" si="219"/>
        <v>-7.6756974076108113</v>
      </c>
      <c r="K1783" s="10"/>
    </row>
    <row r="1784" spans="1:11">
      <c r="A1784" s="11" t="s">
        <v>113</v>
      </c>
      <c r="B1784" s="6">
        <f t="shared" si="211"/>
        <v>-8.4325219101767992</v>
      </c>
      <c r="C1784" s="6">
        <f t="shared" si="212"/>
        <v>-8.3380845345165628</v>
      </c>
      <c r="D1784" s="6">
        <f t="shared" si="213"/>
        <v>-8.3380845345165628</v>
      </c>
      <c r="E1784" s="6">
        <f t="shared" si="214"/>
        <v>-7.6756974076108113</v>
      </c>
      <c r="F1784" s="6">
        <f t="shared" si="215"/>
        <v>-7.6756974076108113</v>
      </c>
      <c r="G1784" s="6">
        <f t="shared" si="216"/>
        <v>-8.3380845345165628</v>
      </c>
      <c r="H1784" s="6">
        <f t="shared" si="217"/>
        <v>-7.6756974076108113</v>
      </c>
      <c r="I1784" s="6">
        <f t="shared" si="218"/>
        <v>-7.6756974076108113</v>
      </c>
      <c r="J1784" s="6">
        <f t="shared" si="219"/>
        <v>-7.6756974076108113</v>
      </c>
      <c r="K1784" s="10"/>
    </row>
    <row r="1786" spans="1:11" ht="21" customHeight="1">
      <c r="A1786" s="1" t="s">
        <v>1756</v>
      </c>
    </row>
    <row r="1787" spans="1:11">
      <c r="A1787" s="2" t="s">
        <v>255</v>
      </c>
    </row>
    <row r="1788" spans="1:11">
      <c r="A1788" s="12" t="s">
        <v>1754</v>
      </c>
    </row>
    <row r="1789" spans="1:11">
      <c r="A1789" s="12" t="s">
        <v>507</v>
      </c>
    </row>
    <row r="1790" spans="1:11">
      <c r="A1790" s="2" t="s">
        <v>268</v>
      </c>
    </row>
    <row r="1792" spans="1:11">
      <c r="B1792" s="3" t="s">
        <v>60</v>
      </c>
      <c r="C1792" s="3" t="s">
        <v>61</v>
      </c>
      <c r="D1792" s="3" t="s">
        <v>62</v>
      </c>
      <c r="E1792" s="3" t="s">
        <v>63</v>
      </c>
      <c r="F1792" s="3" t="s">
        <v>64</v>
      </c>
      <c r="G1792" s="3" t="s">
        <v>69</v>
      </c>
      <c r="H1792" s="3" t="s">
        <v>65</v>
      </c>
      <c r="I1792" s="3" t="s">
        <v>66</v>
      </c>
      <c r="J1792" s="3" t="s">
        <v>67</v>
      </c>
    </row>
    <row r="1793" spans="1:11">
      <c r="A1793" s="11" t="s">
        <v>93</v>
      </c>
      <c r="B1793" s="6">
        <f>SUMPRODUCT($C$1744:$E$1744,$B1282:$D1282)</f>
        <v>5.5890497222905053E-2</v>
      </c>
      <c r="C1793" s="6">
        <f>SUMPRODUCT($G$1744:$I$1744,$B1282:$D1282)</f>
        <v>0.22778453061339302</v>
      </c>
      <c r="D1793" s="6">
        <f>SUMPRODUCT($K$1744:$M$1744,$B1282:$D1282)</f>
        <v>0.22778453061339302</v>
      </c>
      <c r="E1793" s="6">
        <f>SUMPRODUCT($O$1744:$Q$1744,$B1282:$D1282)</f>
        <v>0.18404599827828949</v>
      </c>
      <c r="F1793" s="6">
        <f>SUMPRODUCT($S$1744:$U$1744,$B1282:$D1282)</f>
        <v>0.18404599827828949</v>
      </c>
      <c r="G1793" s="6">
        <f>SUMPRODUCT($W$1744:$Y$1744,$B1282:$D1282)</f>
        <v>0.22778453061339302</v>
      </c>
      <c r="H1793" s="6">
        <f>SUMPRODUCT($AA$1744:$AC$1744,$B1282:$D1282)</f>
        <v>0.18404599827828949</v>
      </c>
      <c r="I1793" s="6">
        <f>SUMPRODUCT($AE$1744:$AG$1744,$B1282:$D1282)</f>
        <v>0.18404599827828949</v>
      </c>
      <c r="J1793" s="6">
        <f>SUMPRODUCT($AI$1744:$AK$1744,$B1282:$D1282)</f>
        <v>0.18404599827828949</v>
      </c>
      <c r="K1793" s="10"/>
    </row>
    <row r="1794" spans="1:11">
      <c r="A1794" s="11" t="s">
        <v>95</v>
      </c>
      <c r="B1794" s="6">
        <f>SUMPRODUCT($C$1747:$E$1747,$B1283:$D1283)</f>
        <v>9.020161498959979E-2</v>
      </c>
      <c r="C1794" s="6">
        <f>SUMPRODUCT($G$1747:$I$1747,$B1283:$D1283)</f>
        <v>0.26836146536810473</v>
      </c>
      <c r="D1794" s="6">
        <f>SUMPRODUCT($K$1747:$M$1747,$B1283:$D1283)</f>
        <v>0.26836146536810473</v>
      </c>
      <c r="E1794" s="6">
        <f>SUMPRODUCT($O$1747:$Q$1747,$B1283:$D1283)</f>
        <v>0.22750625807245378</v>
      </c>
      <c r="F1794" s="6">
        <f>SUMPRODUCT($S$1747:$U$1747,$B1283:$D1283)</f>
        <v>0.22750625807245378</v>
      </c>
      <c r="G1794" s="6">
        <f>SUMPRODUCT($W$1747:$Y$1747,$B1283:$D1283)</f>
        <v>0.26836146536810473</v>
      </c>
      <c r="H1794" s="6">
        <f>SUMPRODUCT($AA$1747:$AC$1747,$B1283:$D1283)</f>
        <v>0.22750625807245378</v>
      </c>
      <c r="I1794" s="6">
        <f>SUMPRODUCT($AE$1747:$AG$1747,$B1283:$D1283)</f>
        <v>0.22750625807245378</v>
      </c>
      <c r="J1794" s="6">
        <f>SUMPRODUCT($AI$1747:$AK$1747,$B1283:$D1283)</f>
        <v>0.22750625807245378</v>
      </c>
      <c r="K1794" s="10"/>
    </row>
    <row r="1795" spans="1:11">
      <c r="A1795" s="11" t="s">
        <v>96</v>
      </c>
      <c r="B1795" s="6">
        <f>SUMPRODUCT($C$1749:$E$1749,$B1284:$D1284)</f>
        <v>2.2739924126820282E-2</v>
      </c>
      <c r="C1795" s="6">
        <f>SUMPRODUCT($G$1749:$I$1749,$B1284:$D1284)</f>
        <v>0.20526288806327439</v>
      </c>
      <c r="D1795" s="6">
        <f>SUMPRODUCT($K$1749:$M$1749,$B1284:$D1284)</f>
        <v>0.20526288806327439</v>
      </c>
      <c r="E1795" s="6">
        <f>SUMPRODUCT($O$1749:$Q$1749,$B1284:$D1284)</f>
        <v>0.15374098381278284</v>
      </c>
      <c r="F1795" s="6">
        <f>SUMPRODUCT($S$1749:$U$1749,$B1284:$D1284)</f>
        <v>0.15374098381278284</v>
      </c>
      <c r="G1795" s="6">
        <f>SUMPRODUCT($W$1749:$Y$1749,$B1284:$D1284)</f>
        <v>0.20526288806327439</v>
      </c>
      <c r="H1795" s="6">
        <f>SUMPRODUCT($AA$1749:$AC$1749,$B1284:$D1284)</f>
        <v>0.15374098381278284</v>
      </c>
      <c r="I1795" s="6">
        <f>SUMPRODUCT($AE$1749:$AG$1749,$B1284:$D1284)</f>
        <v>0.15374098381278284</v>
      </c>
      <c r="J1795" s="6">
        <f>SUMPRODUCT($AI$1749:$AK$1749,$B1284:$D1284)</f>
        <v>0.15374098381278284</v>
      </c>
      <c r="K1795" s="10"/>
    </row>
    <row r="1796" spans="1:11">
      <c r="A1796" s="11" t="s">
        <v>97</v>
      </c>
      <c r="B1796" s="6">
        <f>SUMPRODUCT($C$1750:$E$1750,$B1285:$D1285)</f>
        <v>2.1061605155627182E-2</v>
      </c>
      <c r="C1796" s="6">
        <f>SUMPRODUCT($G$1750:$I$1750,$B1285:$D1285)</f>
        <v>0.20830249144674179</v>
      </c>
      <c r="D1796" s="6">
        <f>SUMPRODUCT($K$1750:$M$1750,$B1285:$D1285)</f>
        <v>0.20830249144674179</v>
      </c>
      <c r="E1796" s="6">
        <f>SUMPRODUCT($O$1750:$Q$1750,$B1285:$D1285)</f>
        <v>0.15513442675058242</v>
      </c>
      <c r="F1796" s="6">
        <f>SUMPRODUCT($S$1750:$U$1750,$B1285:$D1285)</f>
        <v>0.15513442675058242</v>
      </c>
      <c r="G1796" s="6">
        <f>SUMPRODUCT($W$1750:$Y$1750,$B1285:$D1285)</f>
        <v>0.20830249144674179</v>
      </c>
      <c r="H1796" s="6">
        <f>SUMPRODUCT($AA$1750:$AC$1750,$B1285:$D1285)</f>
        <v>0.15513442675058242</v>
      </c>
      <c r="I1796" s="6">
        <f>SUMPRODUCT($AE$1750:$AG$1750,$B1285:$D1285)</f>
        <v>0.15513442675058242</v>
      </c>
      <c r="J1796" s="6">
        <f>SUMPRODUCT($AI$1750:$AK$1750,$B1285:$D1285)</f>
        <v>0.15513442675058242</v>
      </c>
      <c r="K1796" s="10"/>
    </row>
    <row r="1797" spans="1:11">
      <c r="A1797" s="11" t="s">
        <v>110</v>
      </c>
      <c r="B1797" s="6">
        <f>SUMPRODUCT($C$1751:$E$1751,$B1286:$D1286)</f>
        <v>2.0701233006206882E-2</v>
      </c>
      <c r="C1797" s="6">
        <f>SUMPRODUCT($G$1751:$I$1751,$B1286:$D1286)</f>
        <v>0.19486147750579638</v>
      </c>
      <c r="D1797" s="6">
        <f>SUMPRODUCT($K$1751:$M$1751,$B1286:$D1286)</f>
        <v>0.19486147750579638</v>
      </c>
      <c r="E1797" s="6">
        <f>SUMPRODUCT($O$1751:$Q$1751,$B1286:$D1286)</f>
        <v>0.14556187223571082</v>
      </c>
      <c r="F1797" s="6">
        <f>SUMPRODUCT($S$1751:$U$1751,$B1286:$D1286)</f>
        <v>0.14556187223571082</v>
      </c>
      <c r="G1797" s="6">
        <f>SUMPRODUCT($W$1751:$Y$1751,$B1286:$D1286)</f>
        <v>0.19486147750579638</v>
      </c>
      <c r="H1797" s="6">
        <f>SUMPRODUCT($AA$1751:$AC$1751,$B1286:$D1286)</f>
        <v>0.14556187223571082</v>
      </c>
      <c r="I1797" s="6">
        <f>SUMPRODUCT($AE$1751:$AG$1751,$B1286:$D1286)</f>
        <v>0.14556187223571082</v>
      </c>
      <c r="J1797" s="6">
        <f>SUMPRODUCT($AI$1751:$AK$1751,$B1286:$D1286)</f>
        <v>0.14556187223571082</v>
      </c>
      <c r="K1797" s="10"/>
    </row>
    <row r="1798" spans="1:11">
      <c r="A1798" s="11" t="s">
        <v>1647</v>
      </c>
      <c r="B1798" s="6">
        <f>SUMPRODUCT($C$1752:$E$1752,$B1287:$D1287)</f>
        <v>1.1928590401716519</v>
      </c>
      <c r="C1798" s="6">
        <f>SUMPRODUCT($G$1752:$I$1752,$B1287:$D1287)</f>
        <v>1.0101388073787751</v>
      </c>
      <c r="D1798" s="6">
        <f>SUMPRODUCT($K$1752:$M$1752,$B1287:$D1287)</f>
        <v>1.0101388073787751</v>
      </c>
      <c r="E1798" s="6">
        <f>SUMPRODUCT($O$1752:$Q$1752,$B1287:$D1287)</f>
        <v>1.2490711841843545</v>
      </c>
      <c r="F1798" s="6">
        <f>SUMPRODUCT($S$1752:$U$1752,$B1287:$D1287)</f>
        <v>1.2490711841843545</v>
      </c>
      <c r="G1798" s="6">
        <f>SUMPRODUCT($W$1752:$Y$1752,$B1287:$D1287)</f>
        <v>1.0101388073787751</v>
      </c>
      <c r="H1798" s="6">
        <f>SUMPRODUCT($AA$1752:$AC$1752,$B1287:$D1287)</f>
        <v>1.2490711841843545</v>
      </c>
      <c r="I1798" s="6">
        <f>SUMPRODUCT($AE$1752:$AG$1752,$B1287:$D1287)</f>
        <v>1.2490711841843545</v>
      </c>
      <c r="J1798" s="6">
        <f>SUMPRODUCT($AI$1752:$AK$1752,$B1287:$D1287)</f>
        <v>1.2490711841843545</v>
      </c>
      <c r="K1798" s="10"/>
    </row>
    <row r="1799" spans="1:11">
      <c r="A1799" s="11" t="s">
        <v>1646</v>
      </c>
      <c r="B1799" s="6">
        <f>SUMPRODUCT($C$1753:$E$1753,$B1288:$D1288)</f>
        <v>1.1960140731062889</v>
      </c>
      <c r="C1799" s="6">
        <f>SUMPRODUCT($G$1753:$I$1753,$B1288:$D1288)</f>
        <v>1.0229701683881727</v>
      </c>
      <c r="D1799" s="6">
        <f>SUMPRODUCT($K$1753:$M$1753,$B1288:$D1288)</f>
        <v>1.0229701683881727</v>
      </c>
      <c r="E1799" s="6">
        <f>SUMPRODUCT($O$1753:$Q$1753,$B1288:$D1288)</f>
        <v>1.2278295997574824</v>
      </c>
      <c r="F1799" s="6">
        <f>SUMPRODUCT($S$1753:$U$1753,$B1288:$D1288)</f>
        <v>1.2278295997574824</v>
      </c>
      <c r="G1799" s="6">
        <f>SUMPRODUCT($W$1753:$Y$1753,$B1288:$D1288)</f>
        <v>1.0229701683881727</v>
      </c>
      <c r="H1799" s="6">
        <f>SUMPRODUCT($AA$1753:$AC$1753,$B1288:$D1288)</f>
        <v>1.2278295997574824</v>
      </c>
      <c r="I1799" s="6">
        <f>SUMPRODUCT($AE$1753:$AG$1753,$B1288:$D1288)</f>
        <v>1.2278295997574824</v>
      </c>
      <c r="J1799" s="6">
        <f>SUMPRODUCT($AI$1753:$AK$1753,$B1288:$D1288)</f>
        <v>1.2278295997574824</v>
      </c>
      <c r="K1799" s="10"/>
    </row>
    <row r="1800" spans="1:11">
      <c r="A1800" s="11" t="s">
        <v>98</v>
      </c>
      <c r="B1800" s="6">
        <f>SUMPRODUCT($C$1754:$E$1754,$B1289:$D1289)</f>
        <v>0.99149730185528839</v>
      </c>
      <c r="C1800" s="6">
        <f>SUMPRODUCT($G$1754:$I$1754,$B1289:$D1289)</f>
        <v>0.82286440818632456</v>
      </c>
      <c r="D1800" s="6">
        <f>SUMPRODUCT($K$1754:$M$1754,$B1289:$D1289)</f>
        <v>0.82286440818632456</v>
      </c>
      <c r="E1800" s="6">
        <f>SUMPRODUCT($O$1754:$Q$1754,$B1289:$D1289)</f>
        <v>1.0109419391550429</v>
      </c>
      <c r="F1800" s="6">
        <f>SUMPRODUCT($S$1754:$U$1754,$B1289:$D1289)</f>
        <v>1.0109419391550429</v>
      </c>
      <c r="G1800" s="6">
        <f>SUMPRODUCT($W$1754:$Y$1754,$B1289:$D1289)</f>
        <v>0.82286440818632456</v>
      </c>
      <c r="H1800" s="6">
        <f>SUMPRODUCT($AA$1754:$AC$1754,$B1289:$D1289)</f>
        <v>1.0109419391550429</v>
      </c>
      <c r="I1800" s="6">
        <f>SUMPRODUCT($AE$1754:$AG$1754,$B1289:$D1289)</f>
        <v>1.0109419391550429</v>
      </c>
      <c r="J1800" s="6">
        <f>SUMPRODUCT($AI$1754:$AK$1754,$B1289:$D1289)</f>
        <v>1.0109419391550429</v>
      </c>
      <c r="K1800" s="10"/>
    </row>
    <row r="1801" spans="1:11">
      <c r="A1801" s="11" t="s">
        <v>99</v>
      </c>
      <c r="B1801" s="6">
        <f>SUMPRODUCT($C$1755:$E$1755,$B1290:$D1290)</f>
        <v>0.89592637190025537</v>
      </c>
      <c r="C1801" s="6">
        <f>SUMPRODUCT($G$1755:$I$1755,$B1290:$D1290)</f>
        <v>0.74354808874691691</v>
      </c>
      <c r="D1801" s="6">
        <f>SUMPRODUCT($K$1755:$M$1755,$B1290:$D1290)</f>
        <v>0.74354808874691691</v>
      </c>
      <c r="E1801" s="6">
        <f>SUMPRODUCT($O$1755:$Q$1755,$B1290:$D1290)</f>
        <v>0.91349673070636361</v>
      </c>
      <c r="F1801" s="6">
        <f>SUMPRODUCT($S$1755:$U$1755,$B1290:$D1290)</f>
        <v>0.91349673070636361</v>
      </c>
      <c r="G1801" s="6">
        <f>SUMPRODUCT($W$1755:$Y$1755,$B1290:$D1290)</f>
        <v>0.74354808874691691</v>
      </c>
      <c r="H1801" s="6">
        <f>SUMPRODUCT($AA$1755:$AC$1755,$B1290:$D1290)</f>
        <v>0.91349673070636361</v>
      </c>
      <c r="I1801" s="6">
        <f>SUMPRODUCT($AE$1755:$AG$1755,$B1290:$D1290)</f>
        <v>0.91349673070636361</v>
      </c>
      <c r="J1801" s="6">
        <f>SUMPRODUCT($AI$1755:$AK$1755,$B1290:$D1290)</f>
        <v>0.91349673070636361</v>
      </c>
      <c r="K1801" s="10"/>
    </row>
    <row r="1802" spans="1:11">
      <c r="A1802" s="11" t="s">
        <v>111</v>
      </c>
      <c r="B1802" s="6">
        <f>SUMPRODUCT($C$1756:$E$1756,$B1291:$D1291)</f>
        <v>0.92891983861297811</v>
      </c>
      <c r="C1802" s="6">
        <f>SUMPRODUCT($G$1756:$I$1756,$B1291:$D1291)</f>
        <v>0.77093005883375265</v>
      </c>
      <c r="D1802" s="6">
        <f>SUMPRODUCT($K$1756:$M$1756,$B1291:$D1291)</f>
        <v>0.77093005883375265</v>
      </c>
      <c r="E1802" s="6">
        <f>SUMPRODUCT($O$1756:$Q$1756,$B1291:$D1291)</f>
        <v>0.94713724506338159</v>
      </c>
      <c r="F1802" s="6">
        <f>SUMPRODUCT($S$1756:$U$1756,$B1291:$D1291)</f>
        <v>0.94713724506338159</v>
      </c>
      <c r="G1802" s="6">
        <f>SUMPRODUCT($W$1756:$Y$1756,$B1291:$D1291)</f>
        <v>0.77093005883375265</v>
      </c>
      <c r="H1802" s="6">
        <f>SUMPRODUCT($AA$1756:$AC$1756,$B1291:$D1291)</f>
        <v>0.94713724506338159</v>
      </c>
      <c r="I1802" s="6">
        <f>SUMPRODUCT($AE$1756:$AG$1756,$B1291:$D1291)</f>
        <v>0.94713724506338159</v>
      </c>
      <c r="J1802" s="6">
        <f>SUMPRODUCT($AI$1756:$AK$1756,$B1291:$D1291)</f>
        <v>0.94713724506338159</v>
      </c>
      <c r="K1802" s="10"/>
    </row>
    <row r="1803" spans="1:11">
      <c r="A1803" s="11" t="s">
        <v>102</v>
      </c>
      <c r="B1803" s="6">
        <f>SUMPRODUCT($C$1757:$E$1757,$B1292:$D1292)</f>
        <v>-0.85048253019981268</v>
      </c>
      <c r="C1803" s="6">
        <f>SUMPRODUCT($G$1757:$I$1757,$B1292:$D1292)</f>
        <v>-0.70583329130210692</v>
      </c>
      <c r="D1803" s="6">
        <f>SUMPRODUCT($K$1757:$M$1757,$B1292:$D1292)</f>
        <v>-0.70583329130210692</v>
      </c>
      <c r="E1803" s="6">
        <f>SUMPRODUCT($O$1757:$Q$1757,$B1292:$D1292)</f>
        <v>-0.86716167223940099</v>
      </c>
      <c r="F1803" s="6">
        <f>SUMPRODUCT($S$1757:$U$1757,$B1292:$D1292)</f>
        <v>-0.86716167223940099</v>
      </c>
      <c r="G1803" s="6">
        <f>SUMPRODUCT($W$1757:$Y$1757,$B1292:$D1292)</f>
        <v>-0.70583329130210692</v>
      </c>
      <c r="H1803" s="6">
        <f>SUMPRODUCT($AA$1757:$AC$1757,$B1292:$D1292)</f>
        <v>-0.86716167223940099</v>
      </c>
      <c r="I1803" s="6">
        <f>SUMPRODUCT($AE$1757:$AG$1757,$B1292:$D1292)</f>
        <v>-0.86716167223940099</v>
      </c>
      <c r="J1803" s="6">
        <f>SUMPRODUCT($AI$1757:$AK$1757,$B1292:$D1292)</f>
        <v>-0.86716167223940099</v>
      </c>
      <c r="K1803" s="10"/>
    </row>
    <row r="1804" spans="1:11">
      <c r="A1804" s="11" t="s">
        <v>104</v>
      </c>
      <c r="B1804" s="6">
        <f>SUMPRODUCT($C$1758:$E$1758,$B1293:$D1293)</f>
        <v>-0.85048253019981268</v>
      </c>
      <c r="C1804" s="6">
        <f>SUMPRODUCT($G$1758:$I$1758,$B1293:$D1293)</f>
        <v>-0.70583329130210692</v>
      </c>
      <c r="D1804" s="6">
        <f>SUMPRODUCT($K$1758:$M$1758,$B1293:$D1293)</f>
        <v>-0.70583329130210692</v>
      </c>
      <c r="E1804" s="6">
        <f>SUMPRODUCT($O$1758:$Q$1758,$B1293:$D1293)</f>
        <v>-0.86716167223940099</v>
      </c>
      <c r="F1804" s="6">
        <f>SUMPRODUCT($S$1758:$U$1758,$B1293:$D1293)</f>
        <v>-0.86716167223940099</v>
      </c>
      <c r="G1804" s="6">
        <f>SUMPRODUCT($W$1758:$Y$1758,$B1293:$D1293)</f>
        <v>-0.70583329130210692</v>
      </c>
      <c r="H1804" s="6">
        <f>SUMPRODUCT($AA$1758:$AC$1758,$B1293:$D1293)</f>
        <v>-0.86716167223940099</v>
      </c>
      <c r="I1804" s="6">
        <f>SUMPRODUCT($AE$1758:$AG$1758,$B1293:$D1293)</f>
        <v>-0.86716167223940099</v>
      </c>
      <c r="J1804" s="6">
        <f>SUMPRODUCT($AI$1758:$AK$1758,$B1293:$D1293)</f>
        <v>-0.86716167223940099</v>
      </c>
      <c r="K1804" s="10"/>
    </row>
    <row r="1805" spans="1:11">
      <c r="A1805" s="11" t="s">
        <v>113</v>
      </c>
      <c r="B1805" s="6">
        <f>SUMPRODUCT($C$1759:$E$1759,$B1294:$D1294)</f>
        <v>-0.85048253019981268</v>
      </c>
      <c r="C1805" s="6">
        <f>SUMPRODUCT($G$1759:$I$1759,$B1294:$D1294)</f>
        <v>-0.70583329130210692</v>
      </c>
      <c r="D1805" s="6">
        <f>SUMPRODUCT($K$1759:$M$1759,$B1294:$D1294)</f>
        <v>-0.70583329130210692</v>
      </c>
      <c r="E1805" s="6">
        <f>SUMPRODUCT($O$1759:$Q$1759,$B1294:$D1294)</f>
        <v>-0.86716167223940099</v>
      </c>
      <c r="F1805" s="6">
        <f>SUMPRODUCT($S$1759:$U$1759,$B1294:$D1294)</f>
        <v>-0.86716167223940099</v>
      </c>
      <c r="G1805" s="6">
        <f>SUMPRODUCT($W$1759:$Y$1759,$B1294:$D1294)</f>
        <v>-0.70583329130210692</v>
      </c>
      <c r="H1805" s="6">
        <f>SUMPRODUCT($AA$1759:$AC$1759,$B1294:$D1294)</f>
        <v>-0.86716167223940099</v>
      </c>
      <c r="I1805" s="6">
        <f>SUMPRODUCT($AE$1759:$AG$1759,$B1294:$D1294)</f>
        <v>-0.86716167223940099</v>
      </c>
      <c r="J1805" s="6">
        <f>SUMPRODUCT($AI$1759:$AK$1759,$B1294:$D1294)</f>
        <v>-0.86716167223940099</v>
      </c>
      <c r="K1805" s="10"/>
    </row>
    <row r="1807" spans="1:11" ht="21" customHeight="1">
      <c r="A1807" s="1" t="s">
        <v>1755</v>
      </c>
    </row>
    <row r="1808" spans="1:11">
      <c r="A1808" s="2" t="s">
        <v>255</v>
      </c>
    </row>
    <row r="1809" spans="1:11">
      <c r="A1809" s="12" t="s">
        <v>1754</v>
      </c>
    </row>
    <row r="1810" spans="1:11">
      <c r="A1810" s="12" t="s">
        <v>508</v>
      </c>
    </row>
    <row r="1811" spans="1:11">
      <c r="A1811" s="2" t="s">
        <v>268</v>
      </c>
    </row>
    <row r="1813" spans="1:11">
      <c r="B1813" s="3" t="s">
        <v>60</v>
      </c>
      <c r="C1813" s="3" t="s">
        <v>61</v>
      </c>
      <c r="D1813" s="3" t="s">
        <v>62</v>
      </c>
      <c r="E1813" s="3" t="s">
        <v>63</v>
      </c>
      <c r="F1813" s="3" t="s">
        <v>64</v>
      </c>
      <c r="G1813" s="3" t="s">
        <v>69</v>
      </c>
      <c r="H1813" s="3" t="s">
        <v>65</v>
      </c>
      <c r="I1813" s="3" t="s">
        <v>66</v>
      </c>
      <c r="J1813" s="3" t="s">
        <v>67</v>
      </c>
    </row>
    <row r="1814" spans="1:11">
      <c r="A1814" s="11" t="s">
        <v>1647</v>
      </c>
      <c r="B1814" s="6">
        <f>SUMPRODUCT($C$1752:$E$1752,$B1299:$D1299)</f>
        <v>1.8036217093448652E-2</v>
      </c>
      <c r="C1814" s="6">
        <f>SUMPRODUCT($G$1752:$I$1752,$B1299:$D1299)</f>
        <v>0.21756540739679406</v>
      </c>
      <c r="D1814" s="6">
        <f>SUMPRODUCT($K$1752:$M$1752,$B1299:$D1299)</f>
        <v>0.21756540739679406</v>
      </c>
      <c r="E1814" s="6">
        <f>SUMPRODUCT($O$1752:$Q$1752,$B1299:$D1299)</f>
        <v>0.16149837572047743</v>
      </c>
      <c r="F1814" s="6">
        <f>SUMPRODUCT($S$1752:$U$1752,$B1299:$D1299)</f>
        <v>0.16149837572047743</v>
      </c>
      <c r="G1814" s="6">
        <f>SUMPRODUCT($W$1752:$Y$1752,$B1299:$D1299)</f>
        <v>0.21756540739679406</v>
      </c>
      <c r="H1814" s="6">
        <f>SUMPRODUCT($AA$1752:$AC$1752,$B1299:$D1299)</f>
        <v>0.16149837572047743</v>
      </c>
      <c r="I1814" s="6">
        <f>SUMPRODUCT($AE$1752:$AG$1752,$B1299:$D1299)</f>
        <v>0.16149837572047743</v>
      </c>
      <c r="J1814" s="6">
        <f>SUMPRODUCT($AI$1752:$AK$1752,$B1299:$D1299)</f>
        <v>0.16149837572047743</v>
      </c>
      <c r="K1814" s="10"/>
    </row>
    <row r="1815" spans="1:11">
      <c r="A1815" s="11" t="s">
        <v>1646</v>
      </c>
      <c r="B1815" s="6">
        <f>SUMPRODUCT($C$1753:$E$1753,$B1300:$D1300)</f>
        <v>1.8083921689741864E-2</v>
      </c>
      <c r="C1815" s="6">
        <f>SUMPRODUCT($G$1753:$I$1753,$B1300:$D1300)</f>
        <v>0.22032904766590619</v>
      </c>
      <c r="D1815" s="6">
        <f>SUMPRODUCT($K$1753:$M$1753,$B1300:$D1300)</f>
        <v>0.22032904766590619</v>
      </c>
      <c r="E1815" s="6">
        <f>SUMPRODUCT($O$1753:$Q$1753,$B1300:$D1300)</f>
        <v>0.15875194987533287</v>
      </c>
      <c r="F1815" s="6">
        <f>SUMPRODUCT($S$1753:$U$1753,$B1300:$D1300)</f>
        <v>0.15875194987533287</v>
      </c>
      <c r="G1815" s="6">
        <f>SUMPRODUCT($W$1753:$Y$1753,$B1300:$D1300)</f>
        <v>0.22032904766590619</v>
      </c>
      <c r="H1815" s="6">
        <f>SUMPRODUCT($AA$1753:$AC$1753,$B1300:$D1300)</f>
        <v>0.15875194987533287</v>
      </c>
      <c r="I1815" s="6">
        <f>SUMPRODUCT($AE$1753:$AG$1753,$B1300:$D1300)</f>
        <v>0.15875194987533287</v>
      </c>
      <c r="J1815" s="6">
        <f>SUMPRODUCT($AI$1753:$AK$1753,$B1300:$D1300)</f>
        <v>0.15875194987533287</v>
      </c>
      <c r="K1815" s="10"/>
    </row>
    <row r="1816" spans="1:11">
      <c r="A1816" s="11" t="s">
        <v>98</v>
      </c>
      <c r="B1816" s="6">
        <f>SUMPRODUCT($C$1754:$E$1754,$B1301:$D1301)</f>
        <v>1.499159580603693E-2</v>
      </c>
      <c r="C1816" s="6">
        <f>SUMPRODUCT($G$1754:$I$1754,$B1301:$D1301)</f>
        <v>0.17722993007657931</v>
      </c>
      <c r="D1816" s="6">
        <f>SUMPRODUCT($K$1754:$M$1754,$B1301:$D1301)</f>
        <v>0.17722993007657931</v>
      </c>
      <c r="E1816" s="6">
        <f>SUMPRODUCT($O$1754:$Q$1754,$B1301:$D1301)</f>
        <v>0.13070950894432953</v>
      </c>
      <c r="F1816" s="6">
        <f>SUMPRODUCT($S$1754:$U$1754,$B1301:$D1301)</f>
        <v>0.13070950894432953</v>
      </c>
      <c r="G1816" s="6">
        <f>SUMPRODUCT($W$1754:$Y$1754,$B1301:$D1301)</f>
        <v>0.17722993007657931</v>
      </c>
      <c r="H1816" s="6">
        <f>SUMPRODUCT($AA$1754:$AC$1754,$B1301:$D1301)</f>
        <v>0.13070950894432953</v>
      </c>
      <c r="I1816" s="6">
        <f>SUMPRODUCT($AE$1754:$AG$1754,$B1301:$D1301)</f>
        <v>0.13070950894432953</v>
      </c>
      <c r="J1816" s="6">
        <f>SUMPRODUCT($AI$1754:$AK$1754,$B1301:$D1301)</f>
        <v>0.13070950894432953</v>
      </c>
      <c r="K1816" s="10"/>
    </row>
    <row r="1817" spans="1:11">
      <c r="A1817" s="11" t="s">
        <v>99</v>
      </c>
      <c r="B1817" s="6">
        <f>SUMPRODUCT($C$1755:$E$1755,$B1302:$D1302)</f>
        <v>1.3546548250171734E-2</v>
      </c>
      <c r="C1817" s="6">
        <f>SUMPRODUCT($G$1755:$I$1755,$B1302:$D1302)</f>
        <v>0.16014664684263635</v>
      </c>
      <c r="D1817" s="6">
        <f>SUMPRODUCT($K$1755:$M$1755,$B1302:$D1302)</f>
        <v>0.16014664684263635</v>
      </c>
      <c r="E1817" s="6">
        <f>SUMPRODUCT($O$1755:$Q$1755,$B1302:$D1302)</f>
        <v>0.11811035279897221</v>
      </c>
      <c r="F1817" s="6">
        <f>SUMPRODUCT($S$1755:$U$1755,$B1302:$D1302)</f>
        <v>0.11811035279897221</v>
      </c>
      <c r="G1817" s="6">
        <f>SUMPRODUCT($W$1755:$Y$1755,$B1302:$D1302)</f>
        <v>0.16014664684263635</v>
      </c>
      <c r="H1817" s="6">
        <f>SUMPRODUCT($AA$1755:$AC$1755,$B1302:$D1302)</f>
        <v>0.11811035279897221</v>
      </c>
      <c r="I1817" s="6">
        <f>SUMPRODUCT($AE$1755:$AG$1755,$B1302:$D1302)</f>
        <v>0.11811035279897221</v>
      </c>
      <c r="J1817" s="6">
        <f>SUMPRODUCT($AI$1755:$AK$1755,$B1302:$D1302)</f>
        <v>0.11811035279897221</v>
      </c>
      <c r="K1817" s="10"/>
    </row>
    <row r="1818" spans="1:11">
      <c r="A1818" s="11" t="s">
        <v>111</v>
      </c>
      <c r="B1818" s="6">
        <f>SUMPRODUCT($C$1756:$E$1756,$B1303:$D1303)</f>
        <v>1.4045414678019324E-2</v>
      </c>
      <c r="C1818" s="6">
        <f>SUMPRODUCT($G$1756:$I$1756,$B1303:$D1303)</f>
        <v>0.16604422194197158</v>
      </c>
      <c r="D1818" s="6">
        <f>SUMPRODUCT($K$1756:$M$1756,$B1303:$D1303)</f>
        <v>0.16604422194197158</v>
      </c>
      <c r="E1818" s="6">
        <f>SUMPRODUCT($O$1756:$Q$1756,$B1303:$D1303)</f>
        <v>0.12245989547984631</v>
      </c>
      <c r="F1818" s="6">
        <f>SUMPRODUCT($S$1756:$U$1756,$B1303:$D1303)</f>
        <v>0.12245989547984631</v>
      </c>
      <c r="G1818" s="6">
        <f>SUMPRODUCT($W$1756:$Y$1756,$B1303:$D1303)</f>
        <v>0.16604422194197158</v>
      </c>
      <c r="H1818" s="6">
        <f>SUMPRODUCT($AA$1756:$AC$1756,$B1303:$D1303)</f>
        <v>0.12245989547984631</v>
      </c>
      <c r="I1818" s="6">
        <f>SUMPRODUCT($AE$1756:$AG$1756,$B1303:$D1303)</f>
        <v>0.12245989547984631</v>
      </c>
      <c r="J1818" s="6">
        <f>SUMPRODUCT($AI$1756:$AK$1756,$B1303:$D1303)</f>
        <v>0.12245989547984631</v>
      </c>
      <c r="K1818" s="10"/>
    </row>
    <row r="1819" spans="1:11">
      <c r="A1819" s="11" t="s">
        <v>102</v>
      </c>
      <c r="B1819" s="6">
        <f>SUMPRODUCT($C$1757:$E$1757,$B1304:$D1304)</f>
        <v>-1.2859430186036044E-2</v>
      </c>
      <c r="C1819" s="6">
        <f>SUMPRODUCT($G$1757:$I$1757,$B1304:$D1304)</f>
        <v>-0.15202356988427249</v>
      </c>
      <c r="D1819" s="6">
        <f>SUMPRODUCT($K$1757:$M$1757,$B1304:$D1304)</f>
        <v>-0.15202356988427249</v>
      </c>
      <c r="E1819" s="6">
        <f>SUMPRODUCT($O$1757:$Q$1757,$B1304:$D1304)</f>
        <v>-0.11211947191397745</v>
      </c>
      <c r="F1819" s="6">
        <f>SUMPRODUCT($S$1757:$U$1757,$B1304:$D1304)</f>
        <v>-0.11211947191397745</v>
      </c>
      <c r="G1819" s="6">
        <f>SUMPRODUCT($W$1757:$Y$1757,$B1304:$D1304)</f>
        <v>-0.15202356988427249</v>
      </c>
      <c r="H1819" s="6">
        <f>SUMPRODUCT($AA$1757:$AC$1757,$B1304:$D1304)</f>
        <v>-0.11211947191397745</v>
      </c>
      <c r="I1819" s="6">
        <f>SUMPRODUCT($AE$1757:$AG$1757,$B1304:$D1304)</f>
        <v>-0.11211947191397745</v>
      </c>
      <c r="J1819" s="6">
        <f>SUMPRODUCT($AI$1757:$AK$1757,$B1304:$D1304)</f>
        <v>-0.11211947191397745</v>
      </c>
      <c r="K1819" s="10"/>
    </row>
    <row r="1820" spans="1:11">
      <c r="A1820" s="11" t="s">
        <v>104</v>
      </c>
      <c r="B1820" s="6">
        <f>SUMPRODUCT($C$1758:$E$1758,$B1305:$D1305)</f>
        <v>-1.2859430186036044E-2</v>
      </c>
      <c r="C1820" s="6">
        <f>SUMPRODUCT($G$1758:$I$1758,$B1305:$D1305)</f>
        <v>-0.15202356988427249</v>
      </c>
      <c r="D1820" s="6">
        <f>SUMPRODUCT($K$1758:$M$1758,$B1305:$D1305)</f>
        <v>-0.15202356988427249</v>
      </c>
      <c r="E1820" s="6">
        <f>SUMPRODUCT($O$1758:$Q$1758,$B1305:$D1305)</f>
        <v>-0.11211947191397745</v>
      </c>
      <c r="F1820" s="6">
        <f>SUMPRODUCT($S$1758:$U$1758,$B1305:$D1305)</f>
        <v>-0.11211947191397745</v>
      </c>
      <c r="G1820" s="6">
        <f>SUMPRODUCT($W$1758:$Y$1758,$B1305:$D1305)</f>
        <v>-0.15202356988427249</v>
      </c>
      <c r="H1820" s="6">
        <f>SUMPRODUCT($AA$1758:$AC$1758,$B1305:$D1305)</f>
        <v>-0.11211947191397745</v>
      </c>
      <c r="I1820" s="6">
        <f>SUMPRODUCT($AE$1758:$AG$1758,$B1305:$D1305)</f>
        <v>-0.11211947191397745</v>
      </c>
      <c r="J1820" s="6">
        <f>SUMPRODUCT($AI$1758:$AK$1758,$B1305:$D1305)</f>
        <v>-0.11211947191397745</v>
      </c>
      <c r="K1820" s="10"/>
    </row>
    <row r="1821" spans="1:11">
      <c r="A1821" s="11" t="s">
        <v>113</v>
      </c>
      <c r="B1821" s="6">
        <f>SUMPRODUCT($C$1759:$E$1759,$B1306:$D1306)</f>
        <v>-1.2859430186036044E-2</v>
      </c>
      <c r="C1821" s="6">
        <f>SUMPRODUCT($G$1759:$I$1759,$B1306:$D1306)</f>
        <v>-0.15202356988427249</v>
      </c>
      <c r="D1821" s="6">
        <f>SUMPRODUCT($K$1759:$M$1759,$B1306:$D1306)</f>
        <v>-0.15202356988427249</v>
      </c>
      <c r="E1821" s="6">
        <f>SUMPRODUCT($O$1759:$Q$1759,$B1306:$D1306)</f>
        <v>-0.11211947191397745</v>
      </c>
      <c r="F1821" s="6">
        <f>SUMPRODUCT($S$1759:$U$1759,$B1306:$D1306)</f>
        <v>-0.11211947191397745</v>
      </c>
      <c r="G1821" s="6">
        <f>SUMPRODUCT($W$1759:$Y$1759,$B1306:$D1306)</f>
        <v>-0.15202356988427249</v>
      </c>
      <c r="H1821" s="6">
        <f>SUMPRODUCT($AA$1759:$AC$1759,$B1306:$D1306)</f>
        <v>-0.11211947191397745</v>
      </c>
      <c r="I1821" s="6">
        <f>SUMPRODUCT($AE$1759:$AG$1759,$B1306:$D1306)</f>
        <v>-0.11211947191397745</v>
      </c>
      <c r="J1821" s="6">
        <f>SUMPRODUCT($AI$1759:$AK$1759,$B1306:$D1306)</f>
        <v>-0.11211947191397745</v>
      </c>
      <c r="K1821" s="10"/>
    </row>
    <row r="1823" spans="1:11" ht="21" customHeight="1">
      <c r="A1823" s="1" t="s">
        <v>1753</v>
      </c>
    </row>
    <row r="1824" spans="1:11">
      <c r="A1824" s="2" t="s">
        <v>255</v>
      </c>
    </row>
    <row r="1825" spans="1:6">
      <c r="A1825" s="12" t="s">
        <v>509</v>
      </c>
    </row>
    <row r="1826" spans="1:6">
      <c r="A1826" s="12" t="s">
        <v>443</v>
      </c>
    </row>
    <row r="1827" spans="1:6">
      <c r="A1827" s="12" t="s">
        <v>510</v>
      </c>
    </row>
    <row r="1828" spans="1:6">
      <c r="A1828" s="21" t="s">
        <v>258</v>
      </c>
      <c r="B1828" s="21" t="s">
        <v>386</v>
      </c>
      <c r="C1828" s="21" t="s">
        <v>385</v>
      </c>
      <c r="D1828" s="21"/>
      <c r="E1828" s="21"/>
    </row>
    <row r="1829" spans="1:6">
      <c r="A1829" s="21" t="s">
        <v>261</v>
      </c>
      <c r="B1829" s="21" t="s">
        <v>436</v>
      </c>
      <c r="C1829" s="21" t="s">
        <v>445</v>
      </c>
      <c r="D1829" s="21"/>
      <c r="E1829" s="21"/>
    </row>
    <row r="1831" spans="1:6">
      <c r="C1831" s="20" t="s">
        <v>511</v>
      </c>
      <c r="D1831" s="20"/>
      <c r="E1831" s="20"/>
    </row>
    <row r="1832" spans="1:6">
      <c r="B1832" s="3" t="s">
        <v>446</v>
      </c>
      <c r="C1832" s="3" t="s">
        <v>238</v>
      </c>
      <c r="D1832" s="3" t="s">
        <v>239</v>
      </c>
      <c r="E1832" s="3" t="s">
        <v>235</v>
      </c>
    </row>
    <row r="1833" spans="1:6" ht="30">
      <c r="A1833" s="11" t="s">
        <v>512</v>
      </c>
      <c r="B1833" s="27">
        <f>SUM($B297:$D297)</f>
        <v>8784</v>
      </c>
      <c r="C1833" s="27">
        <f>B297*24*$F14/$B1833</f>
        <v>190</v>
      </c>
      <c r="D1833" s="27">
        <f>C297*24*$F14/$B1833</f>
        <v>4233</v>
      </c>
      <c r="E1833" s="27">
        <f>D297*24*$F14/$B1833</f>
        <v>4361</v>
      </c>
      <c r="F1833" s="10"/>
    </row>
    <row r="1835" spans="1:6" ht="21" customHeight="1">
      <c r="A1835" s="1" t="s">
        <v>1752</v>
      </c>
    </row>
    <row r="1836" spans="1:6">
      <c r="A1836" s="2" t="s">
        <v>255</v>
      </c>
    </row>
    <row r="1837" spans="1:6">
      <c r="A1837" s="12" t="s">
        <v>513</v>
      </c>
    </row>
    <row r="1838" spans="1:6">
      <c r="A1838" s="12" t="s">
        <v>514</v>
      </c>
    </row>
    <row r="1839" spans="1:6">
      <c r="A1839" s="12" t="s">
        <v>1751</v>
      </c>
    </row>
    <row r="1840" spans="1:6">
      <c r="A1840" s="12" t="s">
        <v>453</v>
      </c>
    </row>
    <row r="1841" spans="1:6">
      <c r="A1841" s="21" t="s">
        <v>258</v>
      </c>
      <c r="B1841" s="21" t="s">
        <v>386</v>
      </c>
      <c r="C1841" s="21" t="s">
        <v>385</v>
      </c>
      <c r="D1841" s="21"/>
      <c r="E1841" s="21"/>
    </row>
    <row r="1842" spans="1:6">
      <c r="A1842" s="21" t="s">
        <v>261</v>
      </c>
      <c r="B1842" s="21" t="s">
        <v>436</v>
      </c>
      <c r="C1842" s="21" t="s">
        <v>454</v>
      </c>
      <c r="D1842" s="21"/>
      <c r="E1842" s="21"/>
    </row>
    <row r="1844" spans="1:6">
      <c r="C1844" s="20" t="s">
        <v>515</v>
      </c>
      <c r="D1844" s="20"/>
      <c r="E1844" s="20"/>
    </row>
    <row r="1845" spans="1:6">
      <c r="B1845" s="3" t="s">
        <v>455</v>
      </c>
      <c r="C1845" s="3" t="s">
        <v>238</v>
      </c>
      <c r="D1845" s="3" t="s">
        <v>239</v>
      </c>
      <c r="E1845" s="3" t="s">
        <v>235</v>
      </c>
    </row>
    <row r="1846" spans="1:6">
      <c r="A1846" s="11" t="s">
        <v>131</v>
      </c>
      <c r="B1846" s="24">
        <f>SUM($B287:$D287)</f>
        <v>1</v>
      </c>
      <c r="C1846" s="24">
        <f t="shared" ref="C1846:E1849" si="220">IF($B1846,B287/$B1846,C$1833/$F$14/24)</f>
        <v>2.2070015220700151E-2</v>
      </c>
      <c r="D1846" s="24">
        <f t="shared" si="220"/>
        <v>0.48085996955859972</v>
      </c>
      <c r="E1846" s="24">
        <f t="shared" si="220"/>
        <v>0.49707001522070016</v>
      </c>
      <c r="F1846" s="10"/>
    </row>
    <row r="1847" spans="1:6">
      <c r="A1847" s="11" t="s">
        <v>132</v>
      </c>
      <c r="B1847" s="24">
        <f>SUM($B288:$D288)</f>
        <v>1</v>
      </c>
      <c r="C1847" s="24">
        <f t="shared" si="220"/>
        <v>4.3296502490334364E-2</v>
      </c>
      <c r="D1847" s="24">
        <f t="shared" si="220"/>
        <v>0.19352712515009221</v>
      </c>
      <c r="E1847" s="24">
        <f t="shared" si="220"/>
        <v>0.76317637235957336</v>
      </c>
      <c r="F1847" s="10"/>
    </row>
    <row r="1848" spans="1:6">
      <c r="A1848" s="11" t="s">
        <v>133</v>
      </c>
      <c r="B1848" s="24">
        <f>SUM($B289:$D289)</f>
        <v>1</v>
      </c>
      <c r="C1848" s="24">
        <f t="shared" si="220"/>
        <v>7.5341202673786759E-2</v>
      </c>
      <c r="D1848" s="24">
        <f t="shared" si="220"/>
        <v>0.32694556247045986</v>
      </c>
      <c r="E1848" s="24">
        <f t="shared" si="220"/>
        <v>0.59771323485575345</v>
      </c>
      <c r="F1848" s="10"/>
    </row>
    <row r="1849" spans="1:6">
      <c r="A1849" s="11" t="s">
        <v>134</v>
      </c>
      <c r="B1849" s="24">
        <f>SUM($B290:$D290)</f>
        <v>1</v>
      </c>
      <c r="C1849" s="24">
        <f t="shared" si="220"/>
        <v>3.3590963197314191E-3</v>
      </c>
      <c r="D1849" s="24">
        <f t="shared" si="220"/>
        <v>0.7385027664723034</v>
      </c>
      <c r="E1849" s="24">
        <f t="shared" si="220"/>
        <v>0.25813813720796519</v>
      </c>
      <c r="F1849" s="10"/>
    </row>
    <row r="1851" spans="1:6" ht="21" customHeight="1">
      <c r="A1851" s="1" t="s">
        <v>1750</v>
      </c>
    </row>
    <row r="1852" spans="1:6">
      <c r="A1852" s="2" t="s">
        <v>255</v>
      </c>
    </row>
    <row r="1853" spans="1:6">
      <c r="A1853" s="12" t="s">
        <v>1749</v>
      </c>
    </row>
    <row r="1854" spans="1:6">
      <c r="A1854" s="2" t="s">
        <v>516</v>
      </c>
    </row>
    <row r="1855" spans="1:6">
      <c r="A1855" s="2" t="s">
        <v>273</v>
      </c>
    </row>
    <row r="1857" spans="1:5">
      <c r="B1857" s="3" t="s">
        <v>238</v>
      </c>
      <c r="C1857" s="3" t="s">
        <v>239</v>
      </c>
      <c r="D1857" s="3" t="s">
        <v>235</v>
      </c>
    </row>
    <row r="1858" spans="1:5">
      <c r="A1858" s="11" t="s">
        <v>131</v>
      </c>
      <c r="B1858" s="26">
        <f>C$1846</f>
        <v>2.2070015220700151E-2</v>
      </c>
      <c r="C1858" s="26">
        <f>D$1846</f>
        <v>0.48085996955859972</v>
      </c>
      <c r="D1858" s="26">
        <f>E$1846</f>
        <v>0.49707001522070016</v>
      </c>
      <c r="E1858" s="10"/>
    </row>
    <row r="1859" spans="1:5">
      <c r="A1859" s="11" t="s">
        <v>132</v>
      </c>
      <c r="B1859" s="26">
        <f>C$1847</f>
        <v>4.3296502490334364E-2</v>
      </c>
      <c r="C1859" s="26">
        <f>D$1847</f>
        <v>0.19352712515009221</v>
      </c>
      <c r="D1859" s="26">
        <f>E$1847</f>
        <v>0.76317637235957336</v>
      </c>
      <c r="E1859" s="10"/>
    </row>
    <row r="1860" spans="1:5">
      <c r="A1860" s="11" t="s">
        <v>133</v>
      </c>
      <c r="B1860" s="26">
        <f>C$1848</f>
        <v>7.5341202673786759E-2</v>
      </c>
      <c r="C1860" s="26">
        <f>D$1848</f>
        <v>0.32694556247045986</v>
      </c>
      <c r="D1860" s="26">
        <f>E$1848</f>
        <v>0.59771323485575345</v>
      </c>
      <c r="E1860" s="10"/>
    </row>
    <row r="1861" spans="1:5">
      <c r="A1861" s="11" t="s">
        <v>134</v>
      </c>
      <c r="B1861" s="26">
        <f>C$1849</f>
        <v>3.3590963197314191E-3</v>
      </c>
      <c r="C1861" s="26">
        <f>D$1849</f>
        <v>0.7385027664723034</v>
      </c>
      <c r="D1861" s="26">
        <f>E$1849</f>
        <v>0.25813813720796519</v>
      </c>
      <c r="E1861" s="10"/>
    </row>
    <row r="1862" spans="1:5">
      <c r="A1862" s="11" t="s">
        <v>135</v>
      </c>
      <c r="B1862" s="25">
        <v>1</v>
      </c>
      <c r="C1862" s="25">
        <v>0</v>
      </c>
      <c r="D1862" s="25">
        <v>0</v>
      </c>
      <c r="E1862" s="10"/>
    </row>
    <row r="1864" spans="1:5" ht="21" customHeight="1">
      <c r="A1864" s="1" t="s">
        <v>1748</v>
      </c>
    </row>
    <row r="1866" spans="1:5">
      <c r="B1866" s="3" t="s">
        <v>238</v>
      </c>
      <c r="C1866" s="3" t="s">
        <v>239</v>
      </c>
      <c r="D1866" s="3" t="s">
        <v>235</v>
      </c>
    </row>
    <row r="1867" spans="1:5">
      <c r="A1867" s="11" t="s">
        <v>135</v>
      </c>
      <c r="B1867" s="25">
        <v>0</v>
      </c>
      <c r="C1867" s="25">
        <v>1</v>
      </c>
      <c r="D1867" s="25">
        <v>0</v>
      </c>
      <c r="E1867" s="10"/>
    </row>
    <row r="1869" spans="1:5" ht="21" customHeight="1">
      <c r="A1869" s="1" t="s">
        <v>1747</v>
      </c>
    </row>
    <row r="1871" spans="1:5">
      <c r="B1871" s="3" t="s">
        <v>238</v>
      </c>
      <c r="C1871" s="3" t="s">
        <v>239</v>
      </c>
      <c r="D1871" s="3" t="s">
        <v>235</v>
      </c>
    </row>
    <row r="1872" spans="1:5">
      <c r="A1872" s="11" t="s">
        <v>135</v>
      </c>
      <c r="B1872" s="25">
        <v>0</v>
      </c>
      <c r="C1872" s="25">
        <v>0</v>
      </c>
      <c r="D1872" s="25">
        <v>1</v>
      </c>
      <c r="E1872" s="10"/>
    </row>
    <row r="1874" spans="1:6" ht="21" customHeight="1">
      <c r="A1874" s="1" t="s">
        <v>1746</v>
      </c>
    </row>
    <row r="1875" spans="1:6">
      <c r="A1875" s="2" t="s">
        <v>255</v>
      </c>
    </row>
    <row r="1876" spans="1:6">
      <c r="A1876" s="12" t="s">
        <v>474</v>
      </c>
    </row>
    <row r="1877" spans="1:6">
      <c r="A1877" s="12" t="s">
        <v>475</v>
      </c>
    </row>
    <row r="1878" spans="1:6">
      <c r="A1878" s="12" t="s">
        <v>1743</v>
      </c>
    </row>
    <row r="1879" spans="1:6">
      <c r="A1879" s="12" t="s">
        <v>1745</v>
      </c>
    </row>
    <row r="1880" spans="1:6">
      <c r="A1880" s="12" t="s">
        <v>517</v>
      </c>
    </row>
    <row r="1881" spans="1:6">
      <c r="A1881" s="12" t="s">
        <v>518</v>
      </c>
    </row>
    <row r="1882" spans="1:6">
      <c r="A1882" s="21" t="s">
        <v>258</v>
      </c>
      <c r="B1882" s="21" t="s">
        <v>385</v>
      </c>
      <c r="C1882" s="21"/>
      <c r="D1882" s="21"/>
      <c r="E1882" s="21" t="s">
        <v>385</v>
      </c>
    </row>
    <row r="1883" spans="1:6">
      <c r="A1883" s="21" t="s">
        <v>261</v>
      </c>
      <c r="B1883" s="21" t="s">
        <v>519</v>
      </c>
      <c r="C1883" s="21"/>
      <c r="D1883" s="21"/>
      <c r="E1883" s="21" t="s">
        <v>520</v>
      </c>
    </row>
    <row r="1885" spans="1:6">
      <c r="B1885" s="20" t="s">
        <v>521</v>
      </c>
      <c r="C1885" s="20"/>
      <c r="D1885" s="20"/>
    </row>
    <row r="1886" spans="1:6" ht="30">
      <c r="B1886" s="3" t="s">
        <v>238</v>
      </c>
      <c r="C1886" s="3" t="s">
        <v>239</v>
      </c>
      <c r="D1886" s="3" t="s">
        <v>235</v>
      </c>
      <c r="E1886" s="3" t="s">
        <v>1625</v>
      </c>
    </row>
    <row r="1887" spans="1:6">
      <c r="A1887" s="11" t="s">
        <v>131</v>
      </c>
      <c r="B1887" s="24">
        <f>IF($B$1330&gt;0,($B$1184*B$1858)/$B$1330,0)</f>
        <v>2.2070015220700151E-2</v>
      </c>
      <c r="C1887" s="24">
        <f>IF($B$1330&gt;0,($B$1184*C$1858)/$B$1330,0)</f>
        <v>0.48085996955859972</v>
      </c>
      <c r="D1887" s="24">
        <f>IF($B$1330&gt;0,($B$1184*D$1858)/$B$1330,0)</f>
        <v>0.49707001522070016</v>
      </c>
      <c r="E1887" s="6">
        <f>IF($C$1833&gt;0,$B1887*$F$14*24/$C$1833,0)</f>
        <v>1.0203316510454219</v>
      </c>
      <c r="F1887" s="10"/>
    </row>
    <row r="1888" spans="1:6">
      <c r="A1888" s="11" t="s">
        <v>132</v>
      </c>
      <c r="B1888" s="24">
        <f>IF($B$1331&gt;0,($B$1185*B$1859)/$B$1331,0)</f>
        <v>4.3296502490334364E-2</v>
      </c>
      <c r="C1888" s="24">
        <f>IF($B$1331&gt;0,($B$1185*C$1859)/$B$1331,0)</f>
        <v>0.19352712515009221</v>
      </c>
      <c r="D1888" s="24">
        <f>IF($B$1331&gt;0,($B$1185*D$1859)/$B$1331,0)</f>
        <v>0.76317637235957347</v>
      </c>
      <c r="E1888" s="6">
        <f>IF($C$1833&gt;0,$B1888*$F$14*24/$C$1833,0)</f>
        <v>2.0016656730268263</v>
      </c>
      <c r="F1888" s="10"/>
    </row>
    <row r="1889" spans="1:6">
      <c r="A1889" s="11" t="s">
        <v>133</v>
      </c>
      <c r="B1889" s="24">
        <f>IF($B$1332&gt;0,($B$1186*B$1860)/$B$1332,0)</f>
        <v>7.5341202673786759E-2</v>
      </c>
      <c r="C1889" s="24">
        <f>IF($B$1332&gt;0,($B$1186*C$1860)/$B$1332,0)</f>
        <v>0.32694556247045986</v>
      </c>
      <c r="D1889" s="24">
        <f>IF($B$1332&gt;0,($B$1186*D$1860)/$B$1332,0)</f>
        <v>0.59771323485575345</v>
      </c>
      <c r="E1889" s="6">
        <f>IF($C$1833&gt;0,$B1889*$F$14*24/$C$1833,0)</f>
        <v>3.4831427594028574</v>
      </c>
      <c r="F1889" s="10"/>
    </row>
    <row r="1890" spans="1:6">
      <c r="A1890" s="11" t="s">
        <v>134</v>
      </c>
      <c r="B1890" s="24">
        <f>IF($B$1333&gt;0,($B$1187*B$1861)/$B$1333,0)</f>
        <v>0</v>
      </c>
      <c r="C1890" s="24">
        <f>IF($B$1333&gt;0,($B$1187*C$1861)/$B$1333,0)</f>
        <v>0</v>
      </c>
      <c r="D1890" s="24">
        <f>IF($B$1333&gt;0,($B$1187*D$1861)/$B$1333,0)</f>
        <v>0</v>
      </c>
      <c r="E1890" s="6">
        <f>IF($C$1833&gt;0,$B1890*$F$14*24/$C$1833,0)</f>
        <v>0</v>
      </c>
      <c r="F1890" s="10"/>
    </row>
    <row r="1892" spans="1:6" ht="21" customHeight="1">
      <c r="A1892" s="1" t="s">
        <v>1744</v>
      </c>
    </row>
    <row r="1893" spans="1:6">
      <c r="A1893" s="2" t="s">
        <v>255</v>
      </c>
    </row>
    <row r="1894" spans="1:6">
      <c r="A1894" s="12" t="s">
        <v>474</v>
      </c>
    </row>
    <row r="1895" spans="1:6">
      <c r="A1895" s="12" t="s">
        <v>475</v>
      </c>
    </row>
    <row r="1896" spans="1:6">
      <c r="A1896" s="12" t="s">
        <v>1743</v>
      </c>
    </row>
    <row r="1897" spans="1:6">
      <c r="A1897" s="12" t="s">
        <v>477</v>
      </c>
    </row>
    <row r="1898" spans="1:6">
      <c r="A1898" s="12" t="s">
        <v>1742</v>
      </c>
    </row>
    <row r="1899" spans="1:6">
      <c r="A1899" s="12" t="s">
        <v>485</v>
      </c>
    </row>
    <row r="1900" spans="1:6">
      <c r="A1900" s="12" t="s">
        <v>1741</v>
      </c>
    </row>
    <row r="1901" spans="1:6">
      <c r="A1901" s="12" t="s">
        <v>1730</v>
      </c>
    </row>
    <row r="1902" spans="1:6">
      <c r="A1902" s="12" t="s">
        <v>522</v>
      </c>
    </row>
    <row r="1903" spans="1:6">
      <c r="A1903" s="12" t="s">
        <v>489</v>
      </c>
    </row>
    <row r="1904" spans="1:6">
      <c r="A1904" s="21" t="s">
        <v>258</v>
      </c>
      <c r="B1904" s="21" t="s">
        <v>385</v>
      </c>
      <c r="C1904" s="21"/>
      <c r="D1904" s="21"/>
      <c r="E1904" s="21" t="s">
        <v>385</v>
      </c>
    </row>
    <row r="1905" spans="1:6">
      <c r="A1905" s="21" t="s">
        <v>261</v>
      </c>
      <c r="B1905" s="21" t="s">
        <v>490</v>
      </c>
      <c r="C1905" s="21"/>
      <c r="D1905" s="21"/>
      <c r="E1905" s="21" t="s">
        <v>491</v>
      </c>
    </row>
    <row r="1907" spans="1:6">
      <c r="B1907" s="20" t="s">
        <v>523</v>
      </c>
      <c r="C1907" s="20"/>
      <c r="D1907" s="20"/>
    </row>
    <row r="1908" spans="1:6" ht="45">
      <c r="B1908" s="3" t="s">
        <v>238</v>
      </c>
      <c r="C1908" s="3" t="s">
        <v>239</v>
      </c>
      <c r="D1908" s="3" t="s">
        <v>235</v>
      </c>
      <c r="E1908" s="3" t="s">
        <v>1624</v>
      </c>
    </row>
    <row r="1909" spans="1:6">
      <c r="A1909" s="11" t="s">
        <v>135</v>
      </c>
      <c r="B1909" s="24">
        <f>IF($B$1334&gt;0,($B$1188*B$1862+$C$1188*B$1867+$D$1188*B$1872)/$B$1334,0)</f>
        <v>4.306959841576527E-2</v>
      </c>
      <c r="C1909" s="24">
        <f>IF($B$1334&gt;0,($B$1188*C$1862+$C$1188*C$1867+$D$1188*C$1872)/$B$1334,0)</f>
        <v>0.24839147632516609</v>
      </c>
      <c r="D1909" s="24">
        <f>IF($B$1334&gt;0,($B$1188*D$1862+$C$1188*D$1867+$D$1188*D$1872)/$B$1334,0)</f>
        <v>0.7085389252590687</v>
      </c>
      <c r="E1909" s="6">
        <f>IF($C$1833&gt;0,$B1909*$F$14*24/$C$1833,0)</f>
        <v>1.991175539389906</v>
      </c>
      <c r="F1909" s="10"/>
    </row>
    <row r="1911" spans="1:6" ht="21" customHeight="1">
      <c r="A1911" s="1" t="s">
        <v>1740</v>
      </c>
    </row>
    <row r="1912" spans="1:6">
      <c r="A1912" s="2" t="s">
        <v>255</v>
      </c>
    </row>
    <row r="1913" spans="1:6">
      <c r="A1913" s="12" t="s">
        <v>1739</v>
      </c>
    </row>
    <row r="1914" spans="1:6">
      <c r="A1914" s="12" t="s">
        <v>1738</v>
      </c>
    </row>
    <row r="1915" spans="1:6">
      <c r="A1915" s="12" t="s">
        <v>1623</v>
      </c>
    </row>
    <row r="1916" spans="1:6">
      <c r="A1916" s="12" t="s">
        <v>524</v>
      </c>
    </row>
    <row r="1917" spans="1:6">
      <c r="A1917" s="12" t="s">
        <v>525</v>
      </c>
    </row>
    <row r="1918" spans="1:6">
      <c r="A1918" s="12" t="s">
        <v>526</v>
      </c>
    </row>
    <row r="1919" spans="1:6">
      <c r="A1919" s="21" t="s">
        <v>258</v>
      </c>
      <c r="B1919" s="21" t="s">
        <v>419</v>
      </c>
      <c r="C1919" s="21" t="s">
        <v>385</v>
      </c>
      <c r="D1919" s="21" t="s">
        <v>385</v>
      </c>
    </row>
    <row r="1920" spans="1:6">
      <c r="A1920" s="21" t="s">
        <v>261</v>
      </c>
      <c r="B1920" s="21" t="s">
        <v>493</v>
      </c>
      <c r="C1920" s="21" t="s">
        <v>527</v>
      </c>
      <c r="D1920" s="21" t="s">
        <v>528</v>
      </c>
    </row>
    <row r="1922" spans="1:5" ht="30">
      <c r="B1922" s="3" t="s">
        <v>1622</v>
      </c>
      <c r="C1922" s="3" t="s">
        <v>1621</v>
      </c>
      <c r="D1922" s="3" t="s">
        <v>529</v>
      </c>
    </row>
    <row r="1923" spans="1:5">
      <c r="A1923" s="11" t="s">
        <v>131</v>
      </c>
      <c r="B1923" s="7">
        <f>E$1887</f>
        <v>1.0203316510454219</v>
      </c>
      <c r="C1923" s="15">
        <f>B1923*$B$1330/24/$F$14*1000</f>
        <v>893.11190248927528</v>
      </c>
      <c r="D1923" s="15">
        <f>B$928*B$1330/24/F$14*1000</f>
        <v>875.31529730965576</v>
      </c>
      <c r="E1923" s="10"/>
    </row>
    <row r="1924" spans="1:5">
      <c r="A1924" s="11" t="s">
        <v>132</v>
      </c>
      <c r="B1924" s="7">
        <f>E$1888</f>
        <v>2.0016656730268263</v>
      </c>
      <c r="C1924" s="15">
        <f>B1924*$B$1331/24/$F$14*1000</f>
        <v>1378.6142182517274</v>
      </c>
      <c r="D1924" s="15">
        <f>B$929*B$1331/24/F$14*1000</f>
        <v>1446.8854566817072</v>
      </c>
      <c r="E1924" s="10"/>
    </row>
    <row r="1925" spans="1:5">
      <c r="A1925" s="11" t="s">
        <v>133</v>
      </c>
      <c r="B1925" s="7">
        <f>E$1889</f>
        <v>3.4831427594028574</v>
      </c>
      <c r="C1925" s="15">
        <f>B1925*$B$1332/24/$F$14*1000</f>
        <v>149.99655462488835</v>
      </c>
      <c r="D1925" s="15">
        <f>B$930*B$1332/24/F$14*1000</f>
        <v>131.76984314194664</v>
      </c>
      <c r="E1925" s="10"/>
    </row>
    <row r="1926" spans="1:5">
      <c r="A1926" s="11" t="s">
        <v>134</v>
      </c>
      <c r="B1926" s="7">
        <f>E$1890</f>
        <v>0</v>
      </c>
      <c r="C1926" s="15">
        <f>B1926*$B$1333/24/$F$14*1000</f>
        <v>0</v>
      </c>
      <c r="D1926" s="15">
        <f>B$931*B$1333/24/F$14*1000</f>
        <v>0</v>
      </c>
      <c r="E1926" s="10"/>
    </row>
    <row r="1927" spans="1:5">
      <c r="A1927" s="11" t="s">
        <v>135</v>
      </c>
      <c r="B1927" s="7">
        <f>E$1909</f>
        <v>1.991175539389906</v>
      </c>
      <c r="C1927" s="15">
        <f>B1927*$B$1334/24/$F$14*1000</f>
        <v>32779.452619355623</v>
      </c>
      <c r="D1927" s="15">
        <f>B$932*B$1334/24/F$14*1000</f>
        <v>33979.575621007505</v>
      </c>
      <c r="E1927" s="10"/>
    </row>
    <row r="1929" spans="1:5" ht="21" customHeight="1">
      <c r="A1929" s="1" t="s">
        <v>1737</v>
      </c>
    </row>
    <row r="1930" spans="1:5">
      <c r="A1930" s="2" t="s">
        <v>255</v>
      </c>
    </row>
    <row r="1931" spans="1:5">
      <c r="A1931" s="12" t="s">
        <v>1736</v>
      </c>
    </row>
    <row r="1932" spans="1:5">
      <c r="A1932" s="12" t="s">
        <v>1735</v>
      </c>
    </row>
    <row r="1933" spans="1:5">
      <c r="A1933" s="2" t="s">
        <v>1734</v>
      </c>
    </row>
    <row r="1935" spans="1:5" ht="30">
      <c r="B1935" s="3" t="s">
        <v>1733</v>
      </c>
    </row>
    <row r="1936" spans="1:5">
      <c r="A1936" s="11" t="s">
        <v>1733</v>
      </c>
      <c r="B1936" s="6">
        <f>IF(SUM($C$1923:$C$1927),SUM($D$1923:$D$1927)/SUM($C$1923:$C$1927),0)</f>
        <v>1.0350093686674178</v>
      </c>
      <c r="C1936" s="10"/>
    </row>
    <row r="1938" spans="1:7" ht="21" customHeight="1">
      <c r="A1938" s="1" t="s">
        <v>1732</v>
      </c>
    </row>
    <row r="1939" spans="1:7">
      <c r="A1939" s="2" t="s">
        <v>255</v>
      </c>
    </row>
    <row r="1940" spans="1:7">
      <c r="A1940" s="12" t="s">
        <v>1731</v>
      </c>
    </row>
    <row r="1941" spans="1:7">
      <c r="A1941" s="12" t="s">
        <v>530</v>
      </c>
    </row>
    <row r="1942" spans="1:7">
      <c r="A1942" s="12" t="s">
        <v>305</v>
      </c>
    </row>
    <row r="1943" spans="1:7">
      <c r="A1943" s="12" t="s">
        <v>531</v>
      </c>
    </row>
    <row r="1944" spans="1:7">
      <c r="A1944" s="12" t="s">
        <v>532</v>
      </c>
    </row>
    <row r="1945" spans="1:7">
      <c r="A1945" s="12" t="s">
        <v>533</v>
      </c>
    </row>
    <row r="1946" spans="1:7">
      <c r="A1946" s="12" t="s">
        <v>534</v>
      </c>
    </row>
    <row r="1947" spans="1:7">
      <c r="A1947" s="12" t="s">
        <v>1730</v>
      </c>
    </row>
    <row r="1948" spans="1:7">
      <c r="A1948" s="12" t="s">
        <v>535</v>
      </c>
    </row>
    <row r="1949" spans="1:7">
      <c r="A1949" s="12" t="s">
        <v>536</v>
      </c>
    </row>
    <row r="1950" spans="1:7">
      <c r="A1950" s="21" t="s">
        <v>258</v>
      </c>
      <c r="B1950" s="21" t="s">
        <v>314</v>
      </c>
      <c r="C1950" s="21" t="s">
        <v>314</v>
      </c>
      <c r="D1950" s="21" t="s">
        <v>314</v>
      </c>
      <c r="E1950" s="21" t="s">
        <v>385</v>
      </c>
      <c r="F1950" s="21" t="s">
        <v>385</v>
      </c>
      <c r="G1950" s="21" t="s">
        <v>385</v>
      </c>
    </row>
    <row r="1951" spans="1:7">
      <c r="A1951" s="21" t="s">
        <v>261</v>
      </c>
      <c r="B1951" s="21" t="s">
        <v>316</v>
      </c>
      <c r="C1951" s="21" t="s">
        <v>316</v>
      </c>
      <c r="D1951" s="21" t="s">
        <v>316</v>
      </c>
      <c r="E1951" s="21" t="s">
        <v>537</v>
      </c>
      <c r="F1951" s="21" t="s">
        <v>538</v>
      </c>
      <c r="G1951" s="21" t="s">
        <v>539</v>
      </c>
    </row>
    <row r="1953" spans="1:8">
      <c r="B1953" s="3" t="s">
        <v>540</v>
      </c>
      <c r="C1953" s="3" t="s">
        <v>541</v>
      </c>
      <c r="D1953" s="3" t="s">
        <v>542</v>
      </c>
      <c r="E1953" s="3" t="s">
        <v>543</v>
      </c>
      <c r="F1953" s="3" t="s">
        <v>544</v>
      </c>
      <c r="G1953" s="3" t="s">
        <v>247</v>
      </c>
    </row>
    <row r="1954" spans="1:8">
      <c r="A1954" s="11" t="s">
        <v>60</v>
      </c>
      <c r="B1954" s="26">
        <f t="shared" ref="B1954:B1962" si="221">$C1444</f>
        <v>0.62879119434947672</v>
      </c>
      <c r="C1954" s="26">
        <f t="shared" ref="C1954:C1962" si="222">$D1444</f>
        <v>0.36482447333707807</v>
      </c>
      <c r="D1954" s="26">
        <f t="shared" ref="D1954:D1962" si="223">$E1444</f>
        <v>6.3843323134452623E-3</v>
      </c>
      <c r="E1954" s="6">
        <f t="shared" ref="E1954:E1962" si="224">C1954*24*$F$14/$D$1210</f>
        <v>0.85048253019981268</v>
      </c>
      <c r="F1954" s="24">
        <f t="shared" ref="F1954:F1962" si="225">IF($E311,$C1954+$B1954-$E311,$E1954*$D$1833/$F$14/24)</f>
        <v>0.59791320960412175</v>
      </c>
      <c r="G1954" s="24">
        <f t="shared" ref="G1954:G1962" si="226">1-$F1954-$D1954</f>
        <v>0.39570245808243298</v>
      </c>
      <c r="H1954" s="10"/>
    </row>
    <row r="1955" spans="1:8">
      <c r="A1955" s="11" t="s">
        <v>61</v>
      </c>
      <c r="B1955" s="26">
        <f t="shared" si="221"/>
        <v>0.62174924523091402</v>
      </c>
      <c r="C1955" s="26">
        <f t="shared" si="222"/>
        <v>0.3027754828809584</v>
      </c>
      <c r="D1955" s="26">
        <f t="shared" si="223"/>
        <v>7.547527188812754E-2</v>
      </c>
      <c r="E1955" s="6">
        <f t="shared" si="224"/>
        <v>0.70583329130210692</v>
      </c>
      <c r="F1955" s="24">
        <f t="shared" si="225"/>
        <v>0.35847973049159965</v>
      </c>
      <c r="G1955" s="24">
        <f t="shared" si="226"/>
        <v>0.56604499762027283</v>
      </c>
      <c r="H1955" s="10"/>
    </row>
    <row r="1956" spans="1:8">
      <c r="A1956" s="11" t="s">
        <v>62</v>
      </c>
      <c r="B1956" s="26">
        <f t="shared" si="221"/>
        <v>0.62174924523091402</v>
      </c>
      <c r="C1956" s="26">
        <f t="shared" si="222"/>
        <v>0.3027754828809584</v>
      </c>
      <c r="D1956" s="26">
        <f t="shared" si="223"/>
        <v>7.547527188812754E-2</v>
      </c>
      <c r="E1956" s="6">
        <f t="shared" si="224"/>
        <v>0.70583329130210692</v>
      </c>
      <c r="F1956" s="24">
        <f t="shared" si="225"/>
        <v>0.35847973049159965</v>
      </c>
      <c r="G1956" s="24">
        <f t="shared" si="226"/>
        <v>0.56604499762027283</v>
      </c>
      <c r="H1956" s="10"/>
    </row>
    <row r="1957" spans="1:8">
      <c r="A1957" s="11" t="s">
        <v>63</v>
      </c>
      <c r="B1957" s="26">
        <f t="shared" si="221"/>
        <v>0.57235676252107026</v>
      </c>
      <c r="C1957" s="26">
        <f t="shared" si="222"/>
        <v>0.37197918727209278</v>
      </c>
      <c r="D1957" s="26">
        <f t="shared" si="223"/>
        <v>5.5664050206836936E-2</v>
      </c>
      <c r="E1957" s="6">
        <f t="shared" si="224"/>
        <v>0.86716167223940099</v>
      </c>
      <c r="F1957" s="24">
        <f t="shared" si="225"/>
        <v>0.41748127344042141</v>
      </c>
      <c r="G1957" s="24">
        <f t="shared" si="226"/>
        <v>0.52685467635274164</v>
      </c>
      <c r="H1957" s="10"/>
    </row>
    <row r="1958" spans="1:8">
      <c r="A1958" s="11" t="s">
        <v>64</v>
      </c>
      <c r="B1958" s="26">
        <f t="shared" si="221"/>
        <v>0.57235676252107026</v>
      </c>
      <c r="C1958" s="26">
        <f t="shared" si="222"/>
        <v>0.37197918727209278</v>
      </c>
      <c r="D1958" s="26">
        <f t="shared" si="223"/>
        <v>5.5664050206836936E-2</v>
      </c>
      <c r="E1958" s="6">
        <f t="shared" si="224"/>
        <v>0.86716167223940099</v>
      </c>
      <c r="F1958" s="24">
        <f t="shared" si="225"/>
        <v>0.41748127344042141</v>
      </c>
      <c r="G1958" s="24">
        <f t="shared" si="226"/>
        <v>0.52685467635274164</v>
      </c>
      <c r="H1958" s="10"/>
    </row>
    <row r="1959" spans="1:8">
      <c r="A1959" s="11" t="s">
        <v>69</v>
      </c>
      <c r="B1959" s="26">
        <f t="shared" si="221"/>
        <v>0.62174924523091402</v>
      </c>
      <c r="C1959" s="26">
        <f t="shared" si="222"/>
        <v>0.3027754828809584</v>
      </c>
      <c r="D1959" s="26">
        <f t="shared" si="223"/>
        <v>7.547527188812754E-2</v>
      </c>
      <c r="E1959" s="6">
        <f t="shared" si="224"/>
        <v>0.70583329130210692</v>
      </c>
      <c r="F1959" s="24">
        <f t="shared" si="225"/>
        <v>0.35847973049159965</v>
      </c>
      <c r="G1959" s="24">
        <f t="shared" si="226"/>
        <v>0.56604499762027283</v>
      </c>
      <c r="H1959" s="10"/>
    </row>
    <row r="1960" spans="1:8">
      <c r="A1960" s="11" t="s">
        <v>65</v>
      </c>
      <c r="B1960" s="26">
        <f t="shared" si="221"/>
        <v>0.57235676252107026</v>
      </c>
      <c r="C1960" s="26">
        <f t="shared" si="222"/>
        <v>0.37197918727209278</v>
      </c>
      <c r="D1960" s="26">
        <f t="shared" si="223"/>
        <v>5.5664050206836936E-2</v>
      </c>
      <c r="E1960" s="6">
        <f t="shared" si="224"/>
        <v>0.86716167223940099</v>
      </c>
      <c r="F1960" s="24">
        <f t="shared" si="225"/>
        <v>0.41748127344042141</v>
      </c>
      <c r="G1960" s="24">
        <f t="shared" si="226"/>
        <v>0.52685467635274164</v>
      </c>
      <c r="H1960" s="10"/>
    </row>
    <row r="1961" spans="1:8">
      <c r="A1961" s="11" t="s">
        <v>66</v>
      </c>
      <c r="B1961" s="26">
        <f t="shared" si="221"/>
        <v>0.57235676252107026</v>
      </c>
      <c r="C1961" s="26">
        <f t="shared" si="222"/>
        <v>0.37197918727209278</v>
      </c>
      <c r="D1961" s="26">
        <f t="shared" si="223"/>
        <v>5.5664050206836936E-2</v>
      </c>
      <c r="E1961" s="6">
        <f t="shared" si="224"/>
        <v>0.86716167223940099</v>
      </c>
      <c r="F1961" s="24">
        <f t="shared" si="225"/>
        <v>0.41748127344042141</v>
      </c>
      <c r="G1961" s="24">
        <f t="shared" si="226"/>
        <v>0.52685467635274164</v>
      </c>
      <c r="H1961" s="10"/>
    </row>
    <row r="1962" spans="1:8">
      <c r="A1962" s="11" t="s">
        <v>67</v>
      </c>
      <c r="B1962" s="26">
        <f t="shared" si="221"/>
        <v>0.57235676252107026</v>
      </c>
      <c r="C1962" s="26">
        <f t="shared" si="222"/>
        <v>0.37197918727209278</v>
      </c>
      <c r="D1962" s="26">
        <f t="shared" si="223"/>
        <v>5.5664050206836936E-2</v>
      </c>
      <c r="E1962" s="6">
        <f t="shared" si="224"/>
        <v>0.86716167223940099</v>
      </c>
      <c r="F1962" s="24">
        <f t="shared" si="225"/>
        <v>0.41748127344042141</v>
      </c>
      <c r="G1962" s="24">
        <f t="shared" si="226"/>
        <v>0.52685467635274164</v>
      </c>
      <c r="H1962" s="10"/>
    </row>
    <row r="1964" spans="1:8" ht="21" customHeight="1">
      <c r="A1964" s="1" t="s">
        <v>1729</v>
      </c>
    </row>
    <row r="1965" spans="1:8">
      <c r="A1965" s="2" t="s">
        <v>255</v>
      </c>
    </row>
    <row r="1966" spans="1:8">
      <c r="A1966" s="12" t="s">
        <v>1728</v>
      </c>
    </row>
    <row r="1967" spans="1:8">
      <c r="A1967" s="12" t="s">
        <v>1727</v>
      </c>
    </row>
    <row r="1968" spans="1:8">
      <c r="A1968" s="12" t="s">
        <v>1726</v>
      </c>
    </row>
    <row r="1969" spans="1:5">
      <c r="A1969" s="2" t="s">
        <v>295</v>
      </c>
    </row>
    <row r="1971" spans="1:5">
      <c r="B1971" s="3" t="s">
        <v>238</v>
      </c>
      <c r="C1971" s="3" t="s">
        <v>239</v>
      </c>
      <c r="D1971" s="3" t="s">
        <v>235</v>
      </c>
    </row>
    <row r="1972" spans="1:5">
      <c r="A1972" s="11" t="s">
        <v>60</v>
      </c>
      <c r="B1972" s="26">
        <f>$G$1954</f>
        <v>0.39570245808243298</v>
      </c>
      <c r="C1972" s="26">
        <f>$F$1954</f>
        <v>0.59791320960412175</v>
      </c>
      <c r="D1972" s="26">
        <f>$D$1954</f>
        <v>6.3843323134452623E-3</v>
      </c>
      <c r="E1972" s="10"/>
    </row>
    <row r="1973" spans="1:5">
      <c r="A1973" s="11" t="s">
        <v>61</v>
      </c>
      <c r="B1973" s="26">
        <f>$G$1955</f>
        <v>0.56604499762027283</v>
      </c>
      <c r="C1973" s="26">
        <f>$F$1955</f>
        <v>0.35847973049159965</v>
      </c>
      <c r="D1973" s="26">
        <f>$D$1955</f>
        <v>7.547527188812754E-2</v>
      </c>
      <c r="E1973" s="10"/>
    </row>
    <row r="1974" spans="1:5">
      <c r="A1974" s="11" t="s">
        <v>62</v>
      </c>
      <c r="B1974" s="26">
        <f>$G$1956</f>
        <v>0.56604499762027283</v>
      </c>
      <c r="C1974" s="26">
        <f>$F$1956</f>
        <v>0.35847973049159965</v>
      </c>
      <c r="D1974" s="26">
        <f>$D$1956</f>
        <v>7.547527188812754E-2</v>
      </c>
      <c r="E1974" s="10"/>
    </row>
    <row r="1975" spans="1:5">
      <c r="A1975" s="11" t="s">
        <v>63</v>
      </c>
      <c r="B1975" s="26">
        <f>$G$1957</f>
        <v>0.52685467635274164</v>
      </c>
      <c r="C1975" s="26">
        <f>$F$1957</f>
        <v>0.41748127344042141</v>
      </c>
      <c r="D1975" s="26">
        <f>$D$1957</f>
        <v>5.5664050206836936E-2</v>
      </c>
      <c r="E1975" s="10"/>
    </row>
    <row r="1976" spans="1:5">
      <c r="A1976" s="11" t="s">
        <v>64</v>
      </c>
      <c r="B1976" s="26">
        <f>$G$1958</f>
        <v>0.52685467635274164</v>
      </c>
      <c r="C1976" s="26">
        <f>$F$1958</f>
        <v>0.41748127344042141</v>
      </c>
      <c r="D1976" s="26">
        <f>$D$1958</f>
        <v>5.5664050206836936E-2</v>
      </c>
      <c r="E1976" s="10"/>
    </row>
    <row r="1977" spans="1:5">
      <c r="A1977" s="11" t="s">
        <v>69</v>
      </c>
      <c r="B1977" s="26">
        <f>$G$1959</f>
        <v>0.56604499762027283</v>
      </c>
      <c r="C1977" s="26">
        <f>$F$1959</f>
        <v>0.35847973049159965</v>
      </c>
      <c r="D1977" s="26">
        <f>$D$1959</f>
        <v>7.547527188812754E-2</v>
      </c>
      <c r="E1977" s="10"/>
    </row>
    <row r="1978" spans="1:5">
      <c r="A1978" s="11" t="s">
        <v>65</v>
      </c>
      <c r="B1978" s="26">
        <f>$G$1960</f>
        <v>0.52685467635274164</v>
      </c>
      <c r="C1978" s="26">
        <f>$F$1960</f>
        <v>0.41748127344042141</v>
      </c>
      <c r="D1978" s="26">
        <f>$D$1960</f>
        <v>5.5664050206836936E-2</v>
      </c>
      <c r="E1978" s="10"/>
    </row>
    <row r="1979" spans="1:5">
      <c r="A1979" s="11" t="s">
        <v>66</v>
      </c>
      <c r="B1979" s="26">
        <f>$G$1961</f>
        <v>0.52685467635274164</v>
      </c>
      <c r="C1979" s="26">
        <f>$F$1961</f>
        <v>0.41748127344042141</v>
      </c>
      <c r="D1979" s="26">
        <f>$D$1961</f>
        <v>5.5664050206836936E-2</v>
      </c>
      <c r="E1979" s="10"/>
    </row>
    <row r="1980" spans="1:5">
      <c r="A1980" s="11" t="s">
        <v>67</v>
      </c>
      <c r="B1980" s="26">
        <f>$G$1962</f>
        <v>0.52685467635274164</v>
      </c>
      <c r="C1980" s="26">
        <f>$F$1962</f>
        <v>0.41748127344042141</v>
      </c>
      <c r="D1980" s="26">
        <f>$D$1962</f>
        <v>5.5664050206836936E-2</v>
      </c>
      <c r="E1980" s="10"/>
    </row>
    <row r="1982" spans="1:5" ht="21" customHeight="1">
      <c r="A1982" s="1" t="s">
        <v>1725</v>
      </c>
    </row>
    <row r="1983" spans="1:5">
      <c r="A1983" s="2" t="s">
        <v>255</v>
      </c>
    </row>
    <row r="1984" spans="1:5">
      <c r="A1984" s="12" t="s">
        <v>1724</v>
      </c>
    </row>
    <row r="1985" spans="1:38">
      <c r="A1985" s="2" t="s">
        <v>502</v>
      </c>
    </row>
    <row r="1987" spans="1:38">
      <c r="B1987" s="17" t="s">
        <v>60</v>
      </c>
      <c r="C1987" s="3" t="s">
        <v>238</v>
      </c>
      <c r="D1987" s="3" t="s">
        <v>239</v>
      </c>
      <c r="E1987" s="3" t="s">
        <v>235</v>
      </c>
      <c r="F1987" s="17" t="s">
        <v>61</v>
      </c>
      <c r="G1987" s="3" t="s">
        <v>238</v>
      </c>
      <c r="H1987" s="3" t="s">
        <v>239</v>
      </c>
      <c r="I1987" s="3" t="s">
        <v>235</v>
      </c>
      <c r="J1987" s="17" t="s">
        <v>62</v>
      </c>
      <c r="K1987" s="3" t="s">
        <v>238</v>
      </c>
      <c r="L1987" s="3" t="s">
        <v>239</v>
      </c>
      <c r="M1987" s="3" t="s">
        <v>235</v>
      </c>
      <c r="N1987" s="17" t="s">
        <v>63</v>
      </c>
      <c r="O1987" s="3" t="s">
        <v>238</v>
      </c>
      <c r="P1987" s="3" t="s">
        <v>239</v>
      </c>
      <c r="Q1987" s="3" t="s">
        <v>235</v>
      </c>
      <c r="R1987" s="17" t="s">
        <v>64</v>
      </c>
      <c r="S1987" s="3" t="s">
        <v>238</v>
      </c>
      <c r="T1987" s="3" t="s">
        <v>239</v>
      </c>
      <c r="U1987" s="3" t="s">
        <v>235</v>
      </c>
      <c r="V1987" s="17" t="s">
        <v>69</v>
      </c>
      <c r="W1987" s="3" t="s">
        <v>238</v>
      </c>
      <c r="X1987" s="3" t="s">
        <v>239</v>
      </c>
      <c r="Y1987" s="3" t="s">
        <v>235</v>
      </c>
      <c r="Z1987" s="17" t="s">
        <v>65</v>
      </c>
      <c r="AA1987" s="3" t="s">
        <v>238</v>
      </c>
      <c r="AB1987" s="3" t="s">
        <v>239</v>
      </c>
      <c r="AC1987" s="3" t="s">
        <v>235</v>
      </c>
      <c r="AD1987" s="17" t="s">
        <v>66</v>
      </c>
      <c r="AE1987" s="3" t="s">
        <v>238</v>
      </c>
      <c r="AF1987" s="3" t="s">
        <v>239</v>
      </c>
      <c r="AG1987" s="3" t="s">
        <v>235</v>
      </c>
      <c r="AH1987" s="17" t="s">
        <v>67</v>
      </c>
      <c r="AI1987" s="3" t="s">
        <v>238</v>
      </c>
      <c r="AJ1987" s="3" t="s">
        <v>239</v>
      </c>
      <c r="AK1987" s="3" t="s">
        <v>235</v>
      </c>
    </row>
    <row r="1988" spans="1:38">
      <c r="A1988" s="11" t="s">
        <v>503</v>
      </c>
      <c r="C1988" s="26">
        <f>B$1972</f>
        <v>0.39570245808243298</v>
      </c>
      <c r="D1988" s="26">
        <f>C$1972</f>
        <v>0.59791320960412175</v>
      </c>
      <c r="E1988" s="26">
        <f>D$1972</f>
        <v>6.3843323134452623E-3</v>
      </c>
      <c r="G1988" s="26">
        <f>B$1973</f>
        <v>0.56604499762027283</v>
      </c>
      <c r="H1988" s="26">
        <f>C$1973</f>
        <v>0.35847973049159965</v>
      </c>
      <c r="I1988" s="26">
        <f>D$1973</f>
        <v>7.547527188812754E-2</v>
      </c>
      <c r="K1988" s="26">
        <f>B$1974</f>
        <v>0.56604499762027283</v>
      </c>
      <c r="L1988" s="26">
        <f>C$1974</f>
        <v>0.35847973049159965</v>
      </c>
      <c r="M1988" s="26">
        <f>D$1974</f>
        <v>7.547527188812754E-2</v>
      </c>
      <c r="O1988" s="26">
        <f>B$1975</f>
        <v>0.52685467635274164</v>
      </c>
      <c r="P1988" s="26">
        <f>C$1975</f>
        <v>0.41748127344042141</v>
      </c>
      <c r="Q1988" s="26">
        <f>D$1975</f>
        <v>5.5664050206836936E-2</v>
      </c>
      <c r="S1988" s="26">
        <f>B$1976</f>
        <v>0.52685467635274164</v>
      </c>
      <c r="T1988" s="26">
        <f>C$1976</f>
        <v>0.41748127344042141</v>
      </c>
      <c r="U1988" s="26">
        <f>D$1976</f>
        <v>5.5664050206836936E-2</v>
      </c>
      <c r="W1988" s="26">
        <f>B$1977</f>
        <v>0.56604499762027283</v>
      </c>
      <c r="X1988" s="26">
        <f>C$1977</f>
        <v>0.35847973049159965</v>
      </c>
      <c r="Y1988" s="26">
        <f>D$1977</f>
        <v>7.547527188812754E-2</v>
      </c>
      <c r="AA1988" s="26">
        <f>B$1978</f>
        <v>0.52685467635274164</v>
      </c>
      <c r="AB1988" s="26">
        <f>C$1978</f>
        <v>0.41748127344042141</v>
      </c>
      <c r="AC1988" s="26">
        <f>D$1978</f>
        <v>5.5664050206836936E-2</v>
      </c>
      <c r="AE1988" s="26">
        <f>B$1979</f>
        <v>0.52685467635274164</v>
      </c>
      <c r="AF1988" s="26">
        <f>C$1979</f>
        <v>0.41748127344042141</v>
      </c>
      <c r="AG1988" s="26">
        <f>D$1979</f>
        <v>5.5664050206836936E-2</v>
      </c>
      <c r="AI1988" s="26">
        <f>B$1980</f>
        <v>0.52685467635274164</v>
      </c>
      <c r="AJ1988" s="26">
        <f>C$1980</f>
        <v>0.41748127344042141</v>
      </c>
      <c r="AK1988" s="26">
        <f>D$1980</f>
        <v>5.5664050206836936E-2</v>
      </c>
      <c r="AL1988" s="10"/>
    </row>
    <row r="1990" spans="1:38" ht="21" customHeight="1">
      <c r="A1990" s="1" t="s">
        <v>1723</v>
      </c>
    </row>
    <row r="1991" spans="1:38">
      <c r="A1991" s="2" t="s">
        <v>255</v>
      </c>
    </row>
    <row r="1992" spans="1:38">
      <c r="A1992" s="12" t="s">
        <v>1722</v>
      </c>
    </row>
    <row r="1993" spans="1:38">
      <c r="A1993" s="12" t="s">
        <v>1721</v>
      </c>
    </row>
    <row r="1994" spans="1:38">
      <c r="A1994" s="12" t="s">
        <v>1720</v>
      </c>
    </row>
    <row r="1995" spans="1:38">
      <c r="A1995" s="12" t="s">
        <v>453</v>
      </c>
    </row>
    <row r="1996" spans="1:38">
      <c r="A1996" s="2" t="s">
        <v>505</v>
      </c>
    </row>
    <row r="1998" spans="1:38">
      <c r="B1998" s="17" t="s">
        <v>60</v>
      </c>
      <c r="C1998" s="3" t="s">
        <v>238</v>
      </c>
      <c r="D1998" s="3" t="s">
        <v>239</v>
      </c>
      <c r="E1998" s="3" t="s">
        <v>235</v>
      </c>
      <c r="F1998" s="17" t="s">
        <v>61</v>
      </c>
      <c r="G1998" s="3" t="s">
        <v>238</v>
      </c>
      <c r="H1998" s="3" t="s">
        <v>239</v>
      </c>
      <c r="I1998" s="3" t="s">
        <v>235</v>
      </c>
      <c r="J1998" s="17" t="s">
        <v>62</v>
      </c>
      <c r="K1998" s="3" t="s">
        <v>238</v>
      </c>
      <c r="L1998" s="3" t="s">
        <v>239</v>
      </c>
      <c r="M1998" s="3" t="s">
        <v>235</v>
      </c>
      <c r="N1998" s="17" t="s">
        <v>63</v>
      </c>
      <c r="O1998" s="3" t="s">
        <v>238</v>
      </c>
      <c r="P1998" s="3" t="s">
        <v>239</v>
      </c>
      <c r="Q1998" s="3" t="s">
        <v>235</v>
      </c>
      <c r="R1998" s="17" t="s">
        <v>64</v>
      </c>
      <c r="S1998" s="3" t="s">
        <v>238</v>
      </c>
      <c r="T1998" s="3" t="s">
        <v>239</v>
      </c>
      <c r="U1998" s="3" t="s">
        <v>235</v>
      </c>
      <c r="V1998" s="17" t="s">
        <v>69</v>
      </c>
      <c r="W1998" s="3" t="s">
        <v>238</v>
      </c>
      <c r="X1998" s="3" t="s">
        <v>239</v>
      </c>
      <c r="Y1998" s="3" t="s">
        <v>235</v>
      </c>
      <c r="Z1998" s="17" t="s">
        <v>65</v>
      </c>
      <c r="AA1998" s="3" t="s">
        <v>238</v>
      </c>
      <c r="AB1998" s="3" t="s">
        <v>239</v>
      </c>
      <c r="AC1998" s="3" t="s">
        <v>235</v>
      </c>
      <c r="AD1998" s="17" t="s">
        <v>66</v>
      </c>
      <c r="AE1998" s="3" t="s">
        <v>238</v>
      </c>
      <c r="AF1998" s="3" t="s">
        <v>239</v>
      </c>
      <c r="AG1998" s="3" t="s">
        <v>235</v>
      </c>
      <c r="AH1998" s="17" t="s">
        <v>67</v>
      </c>
      <c r="AI1998" s="3" t="s">
        <v>238</v>
      </c>
      <c r="AJ1998" s="3" t="s">
        <v>239</v>
      </c>
      <c r="AK1998" s="3" t="s">
        <v>235</v>
      </c>
    </row>
    <row r="1999" spans="1:38" ht="30">
      <c r="A1999" s="11" t="s">
        <v>1719</v>
      </c>
      <c r="C1999" s="6">
        <f>IF(C1833&gt;0,$B1936*C1988*24*$F14/C1833,0)</f>
        <v>18.934409050501419</v>
      </c>
      <c r="D1999" s="6">
        <f>IF(D1833&gt;0,$B1936*D1988*24*$F14/D1833,0)</f>
        <v>1.2841817328648581</v>
      </c>
      <c r="E1999" s="6">
        <f>IF(E1833&gt;0,$B1936*E1988*24*$F14/E1833,0)</f>
        <v>1.3309630718271901E-2</v>
      </c>
      <c r="G1999" s="6">
        <f>IF(C1833&gt;0,$B1936*G1988*24*$F14/C1833,0)</f>
        <v>27.085319555178561</v>
      </c>
      <c r="H1999" s="6">
        <f>IF(D1833&gt;0,$B1936*H1988*24*$F14/D1833,0)</f>
        <v>0.76993301720901852</v>
      </c>
      <c r="I1999" s="6">
        <f>IF(E1833&gt;0,$B1936*I1988*24*$F14/E1833,0)</f>
        <v>0.15734581908848794</v>
      </c>
      <c r="K1999" s="6">
        <f>IF(C1833&gt;0,$B1936*K1988*24*$F14/C1833,0)</f>
        <v>27.085319555178561</v>
      </c>
      <c r="L1999" s="6">
        <f>IF(D1833&gt;0,$B1936*L1988*24*$F14/D1833,0)</f>
        <v>0.76993301720901852</v>
      </c>
      <c r="M1999" s="6">
        <f>IF(E1833&gt;0,$B1936*M1988*24*$F14/E1833,0)</f>
        <v>0.15734581908848794</v>
      </c>
      <c r="O1999" s="6">
        <f>IF(C1833&gt;0,$B1936*O1988*24*$F14/C1833,0)</f>
        <v>25.210058083981387</v>
      </c>
      <c r="P1999" s="6">
        <f>IF(D1833&gt;0,$B1936*P1988*24*$F14/D1833,0)</f>
        <v>0.89665492675820657</v>
      </c>
      <c r="Q1999" s="6">
        <f>IF(E1833&gt;0,$B1936*Q1988*24*$F14/E1833,0)</f>
        <v>0.11604470384101008</v>
      </c>
      <c r="S1999" s="6">
        <f>IF(C1833&gt;0,$B1936*S1988*24*$F14/C1833,0)</f>
        <v>25.210058083981387</v>
      </c>
      <c r="T1999" s="6">
        <f>IF(D1833&gt;0,$B1936*T1988*24*$F14/D1833,0)</f>
        <v>0.89665492675820657</v>
      </c>
      <c r="U1999" s="6">
        <f>IF(E1833&gt;0,$B1936*U1988*24*$F14/E1833,0)</f>
        <v>0.11604470384101008</v>
      </c>
      <c r="W1999" s="6">
        <f>IF(C1833&gt;0,$B1936*W1988*24*$F14/C1833,0)</f>
        <v>27.085319555178561</v>
      </c>
      <c r="X1999" s="6">
        <f>IF(D1833&gt;0,$B1936*X1988*24*$F14/D1833,0)</f>
        <v>0.76993301720901852</v>
      </c>
      <c r="Y1999" s="6">
        <f>IF(E1833&gt;0,$B1936*Y1988*24*$F14/E1833,0)</f>
        <v>0.15734581908848794</v>
      </c>
      <c r="AA1999" s="6">
        <f>IF(C1833&gt;0,$B1936*AA1988*24*$F14/C1833,0)</f>
        <v>25.210058083981387</v>
      </c>
      <c r="AB1999" s="6">
        <f>IF(D1833&gt;0,$B1936*AB1988*24*$F14/D1833,0)</f>
        <v>0.89665492675820657</v>
      </c>
      <c r="AC1999" s="6">
        <f>IF(E1833&gt;0,$B1936*AC1988*24*$F14/E1833,0)</f>
        <v>0.11604470384101008</v>
      </c>
      <c r="AE1999" s="6">
        <f>IF(C1833&gt;0,$B1936*AE1988*24*$F14/C1833,0)</f>
        <v>25.210058083981387</v>
      </c>
      <c r="AF1999" s="6">
        <f>IF(D1833&gt;0,$B1936*AF1988*24*$F14/D1833,0)</f>
        <v>0.89665492675820657</v>
      </c>
      <c r="AG1999" s="6">
        <f>IF(E1833&gt;0,$B1936*AG1988*24*$F14/E1833,0)</f>
        <v>0.11604470384101008</v>
      </c>
      <c r="AI1999" s="6">
        <f>IF(C1833&gt;0,$B1936*AI1988*24*$F14/C1833,0)</f>
        <v>25.210058083981387</v>
      </c>
      <c r="AJ1999" s="6">
        <f>IF(D1833&gt;0,$B1936*AJ1988*24*$F14/D1833,0)</f>
        <v>0.89665492675820657</v>
      </c>
      <c r="AK1999" s="6">
        <f>IF(E1833&gt;0,$B1936*AK1988*24*$F14/E1833,0)</f>
        <v>0.11604470384101008</v>
      </c>
      <c r="AL1999" s="10"/>
    </row>
    <row r="2001" spans="1:11" ht="21" customHeight="1">
      <c r="A2001" s="1" t="s">
        <v>1718</v>
      </c>
    </row>
    <row r="2002" spans="1:11">
      <c r="A2002" s="2" t="s">
        <v>255</v>
      </c>
    </row>
    <row r="2003" spans="1:11">
      <c r="A2003" s="12" t="s">
        <v>1713</v>
      </c>
    </row>
    <row r="2004" spans="1:11">
      <c r="A2004" s="12" t="s">
        <v>1717</v>
      </c>
    </row>
    <row r="2005" spans="1:11">
      <c r="A2005" s="2" t="s">
        <v>268</v>
      </c>
    </row>
    <row r="2007" spans="1:11">
      <c r="B2007" s="3" t="s">
        <v>60</v>
      </c>
      <c r="C2007" s="3" t="s">
        <v>61</v>
      </c>
      <c r="D2007" s="3" t="s">
        <v>62</v>
      </c>
      <c r="E2007" s="3" t="s">
        <v>63</v>
      </c>
      <c r="F2007" s="3" t="s">
        <v>64</v>
      </c>
      <c r="G2007" s="3" t="s">
        <v>69</v>
      </c>
      <c r="H2007" s="3" t="s">
        <v>65</v>
      </c>
      <c r="I2007" s="3" t="s">
        <v>66</v>
      </c>
      <c r="J2007" s="3" t="s">
        <v>67</v>
      </c>
    </row>
    <row r="2008" spans="1:11">
      <c r="A2008" s="11" t="s">
        <v>131</v>
      </c>
      <c r="B2008" s="6">
        <f>SUMPRODUCT($C$1999:$E$1999,$B1858:$D1858)</f>
        <v>1.0420101032563478</v>
      </c>
      <c r="C2008" s="6">
        <f>SUMPRODUCT($G$1999:$I$1999,$B1858:$D1858)</f>
        <v>1.046215270746836</v>
      </c>
      <c r="D2008" s="6">
        <f>SUMPRODUCT($K$1999:$M$1999,$B1858:$D1858)</f>
        <v>1.046215270746836</v>
      </c>
      <c r="E2008" s="6">
        <f>SUMPRODUCT($O$1999:$Q$1999,$B1858:$D1858)</f>
        <v>1.0452341691182563</v>
      </c>
      <c r="F2008" s="6">
        <f>SUMPRODUCT($S$1999:$U$1999,$B1858:$D1858)</f>
        <v>1.0452341691182563</v>
      </c>
      <c r="G2008" s="6">
        <f>SUMPRODUCT($W$1999:$Y$1999,$B1858:$D1858)</f>
        <v>1.046215270746836</v>
      </c>
      <c r="H2008" s="6">
        <f>SUMPRODUCT($AA$1999:$AC$1999,$B1858:$D1858)</f>
        <v>1.0452341691182563</v>
      </c>
      <c r="I2008" s="6">
        <f>SUMPRODUCT($AE$1999:$AG$1999,$B1858:$D1858)</f>
        <v>1.0452341691182563</v>
      </c>
      <c r="J2008" s="6">
        <f>SUMPRODUCT($AI$1999:$AK$1999,$B1858:$D1858)</f>
        <v>1.0452341691182563</v>
      </c>
      <c r="K2008" s="10"/>
    </row>
    <row r="2009" spans="1:11">
      <c r="A2009" s="11" t="s">
        <v>132</v>
      </c>
      <c r="B2009" s="6">
        <f>SUMPRODUCT($C$1999:$E$1999,$B1859:$D1859)</f>
        <v>1.0784752832286602</v>
      </c>
      <c r="C2009" s="6">
        <f>SUMPRODUCT($G$1999:$I$1999,$B1859:$D1859)</f>
        <v>1.4417851403687865</v>
      </c>
      <c r="D2009" s="6">
        <f>SUMPRODUCT($K$1999:$M$1999,$B1859:$D1859)</f>
        <v>1.4417851403687865</v>
      </c>
      <c r="E2009" s="6">
        <f>SUMPRODUCT($O$1999:$Q$1999,$B1859:$D1859)</f>
        <v>1.3535969689506793</v>
      </c>
      <c r="F2009" s="6">
        <f>SUMPRODUCT($S$1999:$U$1999,$B1859:$D1859)</f>
        <v>1.3535969689506793</v>
      </c>
      <c r="G2009" s="6">
        <f>SUMPRODUCT($W$1999:$Y$1999,$B1859:$D1859)</f>
        <v>1.4417851403687865</v>
      </c>
      <c r="H2009" s="6">
        <f>SUMPRODUCT($AA$1999:$AC$1999,$B1859:$D1859)</f>
        <v>1.3535969689506793</v>
      </c>
      <c r="I2009" s="6">
        <f>SUMPRODUCT($AE$1999:$AG$1999,$B1859:$D1859)</f>
        <v>1.3535969689506793</v>
      </c>
      <c r="J2009" s="6">
        <f>SUMPRODUCT($AI$1999:$AK$1999,$B1859:$D1859)</f>
        <v>1.3535969689506793</v>
      </c>
      <c r="K2009" s="10"/>
    </row>
    <row r="2010" spans="1:11">
      <c r="A2010" s="11" t="s">
        <v>133</v>
      </c>
      <c r="B2010" s="6">
        <f>SUMPRODUCT($C$1999:$E$1999,$B1860:$D1860)</f>
        <v>1.8543540111793544</v>
      </c>
      <c r="C2010" s="6">
        <f>SUMPRODUCT($G$1999:$I$1999,$B1860:$D1860)</f>
        <v>2.3864144119853767</v>
      </c>
      <c r="D2010" s="6">
        <f>SUMPRODUCT($K$1999:$M$1999,$B1860:$D1860)</f>
        <v>2.3864144119853767</v>
      </c>
      <c r="E2010" s="6">
        <f>SUMPRODUCT($O$1999:$Q$1999,$B1860:$D1860)</f>
        <v>2.2618749002147371</v>
      </c>
      <c r="F2010" s="6">
        <f>SUMPRODUCT($S$1999:$U$1999,$B1860:$D1860)</f>
        <v>2.2618749002147371</v>
      </c>
      <c r="G2010" s="6">
        <f>SUMPRODUCT($W$1999:$Y$1999,$B1860:$D1860)</f>
        <v>2.3864144119853767</v>
      </c>
      <c r="H2010" s="6">
        <f>SUMPRODUCT($AA$1999:$AC$1999,$B1860:$D1860)</f>
        <v>2.2618749002147371</v>
      </c>
      <c r="I2010" s="6">
        <f>SUMPRODUCT($AE$1999:$AG$1999,$B1860:$D1860)</f>
        <v>2.2618749002147371</v>
      </c>
      <c r="J2010" s="6">
        <f>SUMPRODUCT($AI$1999:$AK$1999,$B1860:$D1860)</f>
        <v>2.2618749002147371</v>
      </c>
      <c r="K2010" s="10"/>
    </row>
    <row r="2011" spans="1:11">
      <c r="A2011" s="11" t="s">
        <v>134</v>
      </c>
      <c r="B2011" s="6">
        <f>SUMPRODUCT($C$1999:$E$1999,$B1861:$D1861)</f>
        <v>1.0154099894122635</v>
      </c>
      <c r="C2011" s="6">
        <f>SUMPRODUCT($G$1999:$I$1999,$B1861:$D1861)</f>
        <v>0.70019681708074122</v>
      </c>
      <c r="D2011" s="6">
        <f>SUMPRODUCT($K$1999:$M$1999,$B1861:$D1861)</f>
        <v>0.70019681708074122</v>
      </c>
      <c r="E2011" s="6">
        <f>SUMPRODUCT($O$1999:$Q$1999,$B1861:$D1861)</f>
        <v>0.77682072099444177</v>
      </c>
      <c r="F2011" s="6">
        <f>SUMPRODUCT($S$1999:$U$1999,$B1861:$D1861)</f>
        <v>0.77682072099444177</v>
      </c>
      <c r="G2011" s="6">
        <f>SUMPRODUCT($W$1999:$Y$1999,$B1861:$D1861)</f>
        <v>0.70019681708074122</v>
      </c>
      <c r="H2011" s="6">
        <f>SUMPRODUCT($AA$1999:$AC$1999,$B1861:$D1861)</f>
        <v>0.77682072099444177</v>
      </c>
      <c r="I2011" s="6">
        <f>SUMPRODUCT($AE$1999:$AG$1999,$B1861:$D1861)</f>
        <v>0.77682072099444177</v>
      </c>
      <c r="J2011" s="6">
        <f>SUMPRODUCT($AI$1999:$AK$1999,$B1861:$D1861)</f>
        <v>0.77682072099444177</v>
      </c>
      <c r="K2011" s="10"/>
    </row>
    <row r="2012" spans="1:11">
      <c r="A2012" s="11" t="s">
        <v>135</v>
      </c>
      <c r="B2012" s="6">
        <f>SUMPRODUCT($C$1999:$E$1999,$B1862:$D1862)</f>
        <v>18.934409050501419</v>
      </c>
      <c r="C2012" s="6">
        <f>SUMPRODUCT($G$1999:$I$1999,$B1862:$D1862)</f>
        <v>27.085319555178561</v>
      </c>
      <c r="D2012" s="6">
        <f>SUMPRODUCT($K$1999:$M$1999,$B1862:$D1862)</f>
        <v>27.085319555178561</v>
      </c>
      <c r="E2012" s="6">
        <f>SUMPRODUCT($O$1999:$Q$1999,$B1862:$D1862)</f>
        <v>25.210058083981387</v>
      </c>
      <c r="F2012" s="6">
        <f>SUMPRODUCT($S$1999:$U$1999,$B1862:$D1862)</f>
        <v>25.210058083981387</v>
      </c>
      <c r="G2012" s="6">
        <f>SUMPRODUCT($W$1999:$Y$1999,$B1862:$D1862)</f>
        <v>27.085319555178561</v>
      </c>
      <c r="H2012" s="6">
        <f>SUMPRODUCT($AA$1999:$AC$1999,$B1862:$D1862)</f>
        <v>25.210058083981387</v>
      </c>
      <c r="I2012" s="6">
        <f>SUMPRODUCT($AE$1999:$AG$1999,$B1862:$D1862)</f>
        <v>25.210058083981387</v>
      </c>
      <c r="J2012" s="6">
        <f>SUMPRODUCT($AI$1999:$AK$1999,$B1862:$D1862)</f>
        <v>25.210058083981387</v>
      </c>
      <c r="K2012" s="10"/>
    </row>
    <row r="2014" spans="1:11" ht="21" customHeight="1">
      <c r="A2014" s="1" t="s">
        <v>1716</v>
      </c>
    </row>
    <row r="2015" spans="1:11">
      <c r="A2015" s="2" t="s">
        <v>255</v>
      </c>
    </row>
    <row r="2016" spans="1:11">
      <c r="A2016" s="12" t="s">
        <v>1713</v>
      </c>
    </row>
    <row r="2017" spans="1:11">
      <c r="A2017" s="12" t="s">
        <v>1715</v>
      </c>
    </row>
    <row r="2018" spans="1:11">
      <c r="A2018" s="2" t="s">
        <v>268</v>
      </c>
    </row>
    <row r="2020" spans="1:11">
      <c r="B2020" s="3" t="s">
        <v>60</v>
      </c>
      <c r="C2020" s="3" t="s">
        <v>61</v>
      </c>
      <c r="D2020" s="3" t="s">
        <v>62</v>
      </c>
      <c r="E2020" s="3" t="s">
        <v>63</v>
      </c>
      <c r="F2020" s="3" t="s">
        <v>64</v>
      </c>
      <c r="G2020" s="3" t="s">
        <v>69</v>
      </c>
      <c r="H2020" s="3" t="s">
        <v>65</v>
      </c>
      <c r="I2020" s="3" t="s">
        <v>66</v>
      </c>
      <c r="J2020" s="3" t="s">
        <v>67</v>
      </c>
    </row>
    <row r="2021" spans="1:11">
      <c r="A2021" s="11" t="s">
        <v>135</v>
      </c>
      <c r="B2021" s="6">
        <f>SUMPRODUCT($C$1999:$E$1999,$B1867:$D1867)</f>
        <v>1.2841817328648581</v>
      </c>
      <c r="C2021" s="6">
        <f>SUMPRODUCT($G$1999:$I$1999,$B1867:$D1867)</f>
        <v>0.76993301720901852</v>
      </c>
      <c r="D2021" s="6">
        <f>SUMPRODUCT($K$1999:$M$1999,$B1867:$D1867)</f>
        <v>0.76993301720901852</v>
      </c>
      <c r="E2021" s="6">
        <f>SUMPRODUCT($O$1999:$Q$1999,$B1867:$D1867)</f>
        <v>0.89665492675820657</v>
      </c>
      <c r="F2021" s="6">
        <f>SUMPRODUCT($S$1999:$U$1999,$B1867:$D1867)</f>
        <v>0.89665492675820657</v>
      </c>
      <c r="G2021" s="6">
        <f>SUMPRODUCT($W$1999:$Y$1999,$B1867:$D1867)</f>
        <v>0.76993301720901852</v>
      </c>
      <c r="H2021" s="6">
        <f>SUMPRODUCT($AA$1999:$AC$1999,$B1867:$D1867)</f>
        <v>0.89665492675820657</v>
      </c>
      <c r="I2021" s="6">
        <f>SUMPRODUCT($AE$1999:$AG$1999,$B1867:$D1867)</f>
        <v>0.89665492675820657</v>
      </c>
      <c r="J2021" s="6">
        <f>SUMPRODUCT($AI$1999:$AK$1999,$B1867:$D1867)</f>
        <v>0.89665492675820657</v>
      </c>
      <c r="K2021" s="10"/>
    </row>
    <row r="2023" spans="1:11" ht="21" customHeight="1">
      <c r="A2023" s="1" t="s">
        <v>1714</v>
      </c>
    </row>
    <row r="2024" spans="1:11">
      <c r="A2024" s="2" t="s">
        <v>255</v>
      </c>
    </row>
    <row r="2025" spans="1:11">
      <c r="A2025" s="12" t="s">
        <v>1713</v>
      </c>
    </row>
    <row r="2026" spans="1:11">
      <c r="A2026" s="12" t="s">
        <v>1712</v>
      </c>
    </row>
    <row r="2027" spans="1:11">
      <c r="A2027" s="2" t="s">
        <v>268</v>
      </c>
    </row>
    <row r="2029" spans="1:11">
      <c r="B2029" s="3" t="s">
        <v>60</v>
      </c>
      <c r="C2029" s="3" t="s">
        <v>61</v>
      </c>
      <c r="D2029" s="3" t="s">
        <v>62</v>
      </c>
      <c r="E2029" s="3" t="s">
        <v>63</v>
      </c>
      <c r="F2029" s="3" t="s">
        <v>64</v>
      </c>
      <c r="G2029" s="3" t="s">
        <v>69</v>
      </c>
      <c r="H2029" s="3" t="s">
        <v>65</v>
      </c>
      <c r="I2029" s="3" t="s">
        <v>66</v>
      </c>
      <c r="J2029" s="3" t="s">
        <v>67</v>
      </c>
    </row>
    <row r="2030" spans="1:11">
      <c r="A2030" s="11" t="s">
        <v>135</v>
      </c>
      <c r="B2030" s="6">
        <f>SUMPRODUCT($C$1999:$E$1999,$B1872:$D1872)</f>
        <v>1.3309630718271901E-2</v>
      </c>
      <c r="C2030" s="6">
        <f>SUMPRODUCT($G$1999:$I$1999,$B1872:$D1872)</f>
        <v>0.15734581908848794</v>
      </c>
      <c r="D2030" s="6">
        <f>SUMPRODUCT($K$1999:$M$1999,$B1872:$D1872)</f>
        <v>0.15734581908848794</v>
      </c>
      <c r="E2030" s="6">
        <f>SUMPRODUCT($O$1999:$Q$1999,$B1872:$D1872)</f>
        <v>0.11604470384101008</v>
      </c>
      <c r="F2030" s="6">
        <f>SUMPRODUCT($S$1999:$U$1999,$B1872:$D1872)</f>
        <v>0.11604470384101008</v>
      </c>
      <c r="G2030" s="6">
        <f>SUMPRODUCT($W$1999:$Y$1999,$B1872:$D1872)</f>
        <v>0.15734581908848794</v>
      </c>
      <c r="H2030" s="6">
        <f>SUMPRODUCT($AA$1999:$AC$1999,$B1872:$D1872)</f>
        <v>0.11604470384101008</v>
      </c>
      <c r="I2030" s="6">
        <f>SUMPRODUCT($AE$1999:$AG$1999,$B1872:$D1872)</f>
        <v>0.11604470384101008</v>
      </c>
      <c r="J2030" s="6">
        <f>SUMPRODUCT($AI$1999:$AK$1999,$B1872:$D1872)</f>
        <v>0.11604470384101008</v>
      </c>
      <c r="K2030" s="10"/>
    </row>
    <row r="2032" spans="1:11" ht="21" customHeight="1">
      <c r="A2032" s="1" t="s">
        <v>1711</v>
      </c>
    </row>
    <row r="2033" spans="1:11">
      <c r="A2033" s="2" t="s">
        <v>255</v>
      </c>
    </row>
    <row r="2034" spans="1:11">
      <c r="A2034" s="12" t="s">
        <v>1710</v>
      </c>
    </row>
    <row r="2035" spans="1:11">
      <c r="A2035" s="12" t="s">
        <v>1709</v>
      </c>
    </row>
    <row r="2036" spans="1:11">
      <c r="A2036" s="2" t="s">
        <v>273</v>
      </c>
    </row>
    <row r="2038" spans="1:11">
      <c r="B2038" s="3" t="s">
        <v>60</v>
      </c>
      <c r="C2038" s="3" t="s">
        <v>61</v>
      </c>
      <c r="D2038" s="3" t="s">
        <v>62</v>
      </c>
      <c r="E2038" s="3" t="s">
        <v>63</v>
      </c>
      <c r="F2038" s="3" t="s">
        <v>64</v>
      </c>
      <c r="G2038" s="3" t="s">
        <v>69</v>
      </c>
      <c r="H2038" s="3" t="s">
        <v>65</v>
      </c>
      <c r="I2038" s="3" t="s">
        <v>66</v>
      </c>
      <c r="J2038" s="3" t="s">
        <v>67</v>
      </c>
    </row>
    <row r="2039" spans="1:11">
      <c r="A2039" s="11" t="s">
        <v>92</v>
      </c>
      <c r="B2039" s="7">
        <f>$B$1768</f>
        <v>1.9489215874029311</v>
      </c>
      <c r="C2039" s="7">
        <f>$C$1768</f>
        <v>1.9489215874029311</v>
      </c>
      <c r="D2039" s="7">
        <f>$D$1768</f>
        <v>1.9489215874029311</v>
      </c>
      <c r="E2039" s="7">
        <f>$E$1768</f>
        <v>1.9489215874029311</v>
      </c>
      <c r="F2039" s="7">
        <f>$F$1768</f>
        <v>1.9489215874029311</v>
      </c>
      <c r="G2039" s="7">
        <f>$G$1768</f>
        <v>1.9489215874029311</v>
      </c>
      <c r="H2039" s="7">
        <f>$H$1768</f>
        <v>1.9489215874029311</v>
      </c>
      <c r="I2039" s="7">
        <f>$I$1768</f>
        <v>1.9489215874029311</v>
      </c>
      <c r="J2039" s="7">
        <f>$J$1768</f>
        <v>1.9489215874029311</v>
      </c>
      <c r="K2039" s="10"/>
    </row>
    <row r="2040" spans="1:11">
      <c r="A2040" s="11" t="s">
        <v>93</v>
      </c>
      <c r="B2040" s="7">
        <f>$B$1769</f>
        <v>2.152388128216201</v>
      </c>
      <c r="C2040" s="7">
        <f>$C$1769</f>
        <v>2.0780598612924694</v>
      </c>
      <c r="D2040" s="7">
        <f>$D$1769</f>
        <v>2.0780598612924694</v>
      </c>
      <c r="E2040" s="7">
        <f>$E$1769</f>
        <v>2.0692446871573242</v>
      </c>
      <c r="F2040" s="7">
        <f>$F$1769</f>
        <v>2.0692446871573242</v>
      </c>
      <c r="G2040" s="7">
        <f>$G$1769</f>
        <v>2.0780598612924694</v>
      </c>
      <c r="H2040" s="7">
        <f>$H$1769</f>
        <v>2.0692446871573242</v>
      </c>
      <c r="I2040" s="7">
        <f>$I$1769</f>
        <v>2.0692446871573242</v>
      </c>
      <c r="J2040" s="7">
        <f>$J$1769</f>
        <v>2.0692446871573242</v>
      </c>
      <c r="K2040" s="10"/>
    </row>
    <row r="2041" spans="1:11">
      <c r="A2041" s="11" t="s">
        <v>129</v>
      </c>
      <c r="B2041" s="7">
        <f>$B$1770</f>
        <v>0.15464303950647051</v>
      </c>
      <c r="C2041" s="7">
        <f>$C$1770</f>
        <v>0.24576712080787408</v>
      </c>
      <c r="D2041" s="7">
        <f>$D$1770</f>
        <v>0.24576712080787408</v>
      </c>
      <c r="E2041" s="7">
        <f>$E$1770</f>
        <v>0.23992468904727082</v>
      </c>
      <c r="F2041" s="7">
        <f>$F$1770</f>
        <v>0.23992468904727082</v>
      </c>
      <c r="G2041" s="7">
        <f>$G$1770</f>
        <v>0.24576712080787408</v>
      </c>
      <c r="H2041" s="7">
        <f>$H$1770</f>
        <v>0.23992468904727082</v>
      </c>
      <c r="I2041" s="7">
        <f>$I$1770</f>
        <v>0.23992468904727082</v>
      </c>
      <c r="J2041" s="7">
        <f>$J$1770</f>
        <v>0.23992468904727082</v>
      </c>
      <c r="K2041" s="10"/>
    </row>
    <row r="2042" spans="1:11">
      <c r="A2042" s="11" t="s">
        <v>94</v>
      </c>
      <c r="B2042" s="7">
        <f>$B$1771</f>
        <v>1.5328184166472327</v>
      </c>
      <c r="C2042" s="7">
        <f>$C$1771</f>
        <v>1.5328184166472327</v>
      </c>
      <c r="D2042" s="7">
        <f>$D$1771</f>
        <v>1.5328184166472327</v>
      </c>
      <c r="E2042" s="7">
        <f>$E$1771</f>
        <v>1.5328184166472327</v>
      </c>
      <c r="F2042" s="7">
        <f>$F$1771</f>
        <v>1.5328184166472327</v>
      </c>
      <c r="G2042" s="7">
        <f>$G$1771</f>
        <v>1.5328184166472327</v>
      </c>
      <c r="H2042" s="7">
        <f>$H$1771</f>
        <v>1.5328184166472327</v>
      </c>
      <c r="I2042" s="7">
        <f>$I$1771</f>
        <v>1.5328184166472327</v>
      </c>
      <c r="J2042" s="7">
        <f>$J$1771</f>
        <v>1.5328184166472327</v>
      </c>
      <c r="K2042" s="10"/>
    </row>
    <row r="2043" spans="1:11">
      <c r="A2043" s="11" t="s">
        <v>95</v>
      </c>
      <c r="B2043" s="7">
        <f>$B$1772</f>
        <v>2.0148471269674957</v>
      </c>
      <c r="C2043" s="7">
        <f>$C$1772</f>
        <v>1.913559456842681</v>
      </c>
      <c r="D2043" s="7">
        <f>$D$1772</f>
        <v>1.913559456842681</v>
      </c>
      <c r="E2043" s="7">
        <f>$E$1772</f>
        <v>1.958703253794486</v>
      </c>
      <c r="F2043" s="7">
        <f>$F$1772</f>
        <v>1.958703253794486</v>
      </c>
      <c r="G2043" s="7">
        <f>$G$1772</f>
        <v>1.913559456842681</v>
      </c>
      <c r="H2043" s="7">
        <f>$H$1772</f>
        <v>1.958703253794486</v>
      </c>
      <c r="I2043" s="7">
        <f>$I$1772</f>
        <v>1.958703253794486</v>
      </c>
      <c r="J2043" s="7">
        <f>$J$1772</f>
        <v>1.958703253794486</v>
      </c>
      <c r="K2043" s="10"/>
    </row>
    <row r="2044" spans="1:11">
      <c r="A2044" s="11" t="s">
        <v>130</v>
      </c>
      <c r="B2044" s="7">
        <f>$B$1773</f>
        <v>0.1624735292698678</v>
      </c>
      <c r="C2044" s="7">
        <f>$C$1773</f>
        <v>0.25117859381732904</v>
      </c>
      <c r="D2044" s="7">
        <f>$D$1773</f>
        <v>0.25117859381732904</v>
      </c>
      <c r="E2044" s="7">
        <f>$E$1773</f>
        <v>0.24698084995959274</v>
      </c>
      <c r="F2044" s="7">
        <f>$F$1773</f>
        <v>0.24698084995959274</v>
      </c>
      <c r="G2044" s="7">
        <f>$G$1773</f>
        <v>0.25117859381732904</v>
      </c>
      <c r="H2044" s="7">
        <f>$H$1773</f>
        <v>0.24698084995959274</v>
      </c>
      <c r="I2044" s="7">
        <f>$I$1773</f>
        <v>0.24698084995959274</v>
      </c>
      <c r="J2044" s="7">
        <f>$J$1773</f>
        <v>0.24698084995959274</v>
      </c>
      <c r="K2044" s="10"/>
    </row>
    <row r="2045" spans="1:11">
      <c r="A2045" s="11" t="s">
        <v>96</v>
      </c>
      <c r="B2045" s="7">
        <f>$B$1774</f>
        <v>1.8799690513510889</v>
      </c>
      <c r="C2045" s="7">
        <f>$C$1774</f>
        <v>1.7844715634795085</v>
      </c>
      <c r="D2045" s="7">
        <f>$D$1774</f>
        <v>1.7844715634795085</v>
      </c>
      <c r="E2045" s="7">
        <f>$E$1774</f>
        <v>1.824380678872223</v>
      </c>
      <c r="F2045" s="7">
        <f>$F$1774</f>
        <v>1.824380678872223</v>
      </c>
      <c r="G2045" s="7">
        <f>$G$1774</f>
        <v>1.7844715634795085</v>
      </c>
      <c r="H2045" s="7">
        <f>$H$1774</f>
        <v>1.824380678872223</v>
      </c>
      <c r="I2045" s="7">
        <f>$I$1774</f>
        <v>1.824380678872223</v>
      </c>
      <c r="J2045" s="7">
        <f>$J$1774</f>
        <v>1.824380678872223</v>
      </c>
      <c r="K2045" s="10"/>
    </row>
    <row r="2046" spans="1:11">
      <c r="A2046" s="11" t="s">
        <v>97</v>
      </c>
      <c r="B2046" s="7">
        <f>$B$1775</f>
        <v>1.9043545542702791</v>
      </c>
      <c r="C2046" s="7">
        <f>$C$1775</f>
        <v>1.8052787750234693</v>
      </c>
      <c r="D2046" s="7">
        <f>$D$1775</f>
        <v>1.8052787750234693</v>
      </c>
      <c r="E2046" s="7">
        <f>$E$1775</f>
        <v>1.8492630129801615</v>
      </c>
      <c r="F2046" s="7">
        <f>$F$1775</f>
        <v>1.8492630129801615</v>
      </c>
      <c r="G2046" s="7">
        <f>$G$1775</f>
        <v>1.8052787750234693</v>
      </c>
      <c r="H2046" s="7">
        <f>$H$1775</f>
        <v>1.8492630129801615</v>
      </c>
      <c r="I2046" s="7">
        <f>$I$1775</f>
        <v>1.8492630129801615</v>
      </c>
      <c r="J2046" s="7">
        <f>$J$1775</f>
        <v>1.8492630129801615</v>
      </c>
      <c r="K2046" s="10"/>
    </row>
    <row r="2047" spans="1:11">
      <c r="A2047" s="11" t="s">
        <v>110</v>
      </c>
      <c r="B2047" s="7">
        <f>$B$1776</f>
        <v>1.8029764748351051</v>
      </c>
      <c r="C2047" s="7">
        <f>$C$1776</f>
        <v>1.7005855627175228</v>
      </c>
      <c r="D2047" s="7">
        <f>$D$1776</f>
        <v>1.7005855627175228</v>
      </c>
      <c r="E2047" s="7">
        <f>$E$1776</f>
        <v>1.7488748114479484</v>
      </c>
      <c r="F2047" s="7">
        <f>$F$1776</f>
        <v>1.7488748114479484</v>
      </c>
      <c r="G2047" s="7">
        <f>$G$1776</f>
        <v>1.7005855627175228</v>
      </c>
      <c r="H2047" s="7">
        <f>$H$1776</f>
        <v>1.7488748114479484</v>
      </c>
      <c r="I2047" s="7">
        <f>$I$1776</f>
        <v>1.7488748114479484</v>
      </c>
      <c r="J2047" s="7">
        <f>$J$1776</f>
        <v>1.7488748114479484</v>
      </c>
      <c r="K2047" s="10"/>
    </row>
    <row r="2048" spans="1:11">
      <c r="A2048" s="11" t="s">
        <v>1647</v>
      </c>
      <c r="B2048" s="7">
        <f>$B$1777</f>
        <v>11.827180024070218</v>
      </c>
      <c r="C2048" s="7">
        <f>$C$1777</f>
        <v>11.932878303291826</v>
      </c>
      <c r="D2048" s="7">
        <f>$D$1777</f>
        <v>11.932878303291826</v>
      </c>
      <c r="E2048" s="7">
        <f>$E$1777</f>
        <v>11.056176440093349</v>
      </c>
      <c r="F2048" s="7">
        <f>$F$1777</f>
        <v>11.056176440093349</v>
      </c>
      <c r="G2048" s="7">
        <f>$G$1777</f>
        <v>11.932878303291826</v>
      </c>
      <c r="H2048" s="7">
        <f>$H$1777</f>
        <v>11.056176440093349</v>
      </c>
      <c r="I2048" s="7">
        <f>$I$1777</f>
        <v>11.056176440093349</v>
      </c>
      <c r="J2048" s="7">
        <f>$J$1777</f>
        <v>11.056176440093349</v>
      </c>
      <c r="K2048" s="10"/>
    </row>
    <row r="2049" spans="1:11">
      <c r="A2049" s="11" t="s">
        <v>1646</v>
      </c>
      <c r="B2049" s="7">
        <f>$B$1778</f>
        <v>11.858462129703129</v>
      </c>
      <c r="C2049" s="7">
        <f>$C$1778</f>
        <v>12.084456550036018</v>
      </c>
      <c r="D2049" s="7">
        <f>$D$1778</f>
        <v>12.084456550036018</v>
      </c>
      <c r="E2049" s="7">
        <f>$E$1778</f>
        <v>10.868156166898114</v>
      </c>
      <c r="F2049" s="7">
        <f>$F$1778</f>
        <v>10.868156166898114</v>
      </c>
      <c r="G2049" s="7">
        <f>$G$1778</f>
        <v>12.084456550036018</v>
      </c>
      <c r="H2049" s="7">
        <f>$H$1778</f>
        <v>10.868156166898114</v>
      </c>
      <c r="I2049" s="7">
        <f>$I$1778</f>
        <v>10.868156166898114</v>
      </c>
      <c r="J2049" s="7">
        <f>$J$1778</f>
        <v>10.868156166898114</v>
      </c>
      <c r="K2049" s="10"/>
    </row>
    <row r="2050" spans="1:11">
      <c r="A2050" s="11" t="s">
        <v>98</v>
      </c>
      <c r="B2050" s="7">
        <f>$B$1779</f>
        <v>9.8306813190055813</v>
      </c>
      <c r="C2050" s="7">
        <f>$C$1779</f>
        <v>9.7205856970068343</v>
      </c>
      <c r="D2050" s="7">
        <f>$D$1779</f>
        <v>9.7205856970068343</v>
      </c>
      <c r="E2050" s="7">
        <f>$E$1779</f>
        <v>8.9483710708505111</v>
      </c>
      <c r="F2050" s="7">
        <f>$F$1779</f>
        <v>8.9483710708505111</v>
      </c>
      <c r="G2050" s="7">
        <f>$G$1779</f>
        <v>9.7205856970068343</v>
      </c>
      <c r="H2050" s="7">
        <f>$H$1779</f>
        <v>8.9483710708505111</v>
      </c>
      <c r="I2050" s="7">
        <f>$I$1779</f>
        <v>8.9483710708505111</v>
      </c>
      <c r="J2050" s="7">
        <f>$J$1779</f>
        <v>8.9483710708505111</v>
      </c>
      <c r="K2050" s="10"/>
    </row>
    <row r="2051" spans="1:11">
      <c r="A2051" s="11" t="s">
        <v>99</v>
      </c>
      <c r="B2051" s="7">
        <f>$B$1780</f>
        <v>8.8830969393094499</v>
      </c>
      <c r="C2051" s="7">
        <f>$C$1780</f>
        <v>8.7836134903934795</v>
      </c>
      <c r="D2051" s="7">
        <f>$D$1780</f>
        <v>8.7836134903934795</v>
      </c>
      <c r="E2051" s="7">
        <f>$E$1780</f>
        <v>8.085833025387716</v>
      </c>
      <c r="F2051" s="7">
        <f>$F$1780</f>
        <v>8.085833025387716</v>
      </c>
      <c r="G2051" s="7">
        <f>$G$1780</f>
        <v>8.7836134903934795</v>
      </c>
      <c r="H2051" s="7">
        <f>$H$1780</f>
        <v>8.085833025387716</v>
      </c>
      <c r="I2051" s="7">
        <f>$I$1780</f>
        <v>8.085833025387716</v>
      </c>
      <c r="J2051" s="7">
        <f>$J$1780</f>
        <v>8.085833025387716</v>
      </c>
      <c r="K2051" s="10"/>
    </row>
    <row r="2052" spans="1:11">
      <c r="A2052" s="11" t="s">
        <v>111</v>
      </c>
      <c r="B2052" s="7">
        <f>$B$1781</f>
        <v>9.2102266816245084</v>
      </c>
      <c r="C2052" s="7">
        <f>$C$1781</f>
        <v>9.1070796460978301</v>
      </c>
      <c r="D2052" s="7">
        <f>$D$1781</f>
        <v>9.1070796460978301</v>
      </c>
      <c r="E2052" s="7">
        <f>$E$1781</f>
        <v>8.3836026537132291</v>
      </c>
      <c r="F2052" s="7">
        <f>$F$1781</f>
        <v>8.3836026537132291</v>
      </c>
      <c r="G2052" s="7">
        <f>$G$1781</f>
        <v>9.1070796460978301</v>
      </c>
      <c r="H2052" s="7">
        <f>$H$1781</f>
        <v>8.3836026537132291</v>
      </c>
      <c r="I2052" s="7">
        <f>$I$1781</f>
        <v>8.3836026537132291</v>
      </c>
      <c r="J2052" s="7">
        <f>$J$1781</f>
        <v>8.3836026537132291</v>
      </c>
      <c r="K2052" s="10"/>
    </row>
    <row r="2053" spans="1:11">
      <c r="A2053" s="11" t="s">
        <v>131</v>
      </c>
      <c r="B2053" s="7">
        <f>$B$2008</f>
        <v>1.0420101032563478</v>
      </c>
      <c r="C2053" s="7">
        <f>$C$2008</f>
        <v>1.046215270746836</v>
      </c>
      <c r="D2053" s="7">
        <f>$D$2008</f>
        <v>1.046215270746836</v>
      </c>
      <c r="E2053" s="7">
        <f>$E$2008</f>
        <v>1.0452341691182563</v>
      </c>
      <c r="F2053" s="7">
        <f>$F$2008</f>
        <v>1.0452341691182563</v>
      </c>
      <c r="G2053" s="7">
        <f>$G$2008</f>
        <v>1.046215270746836</v>
      </c>
      <c r="H2053" s="7">
        <f>$H$2008</f>
        <v>1.0452341691182563</v>
      </c>
      <c r="I2053" s="7">
        <f>$I$2008</f>
        <v>1.0452341691182563</v>
      </c>
      <c r="J2053" s="7">
        <f>$J$2008</f>
        <v>1.0452341691182563</v>
      </c>
      <c r="K2053" s="10"/>
    </row>
    <row r="2054" spans="1:11">
      <c r="A2054" s="11" t="s">
        <v>132</v>
      </c>
      <c r="B2054" s="7">
        <f>$B$2009</f>
        <v>1.0784752832286602</v>
      </c>
      <c r="C2054" s="7">
        <f>$C$2009</f>
        <v>1.4417851403687865</v>
      </c>
      <c r="D2054" s="7">
        <f>$D$2009</f>
        <v>1.4417851403687865</v>
      </c>
      <c r="E2054" s="7">
        <f>$E$2009</f>
        <v>1.3535969689506793</v>
      </c>
      <c r="F2054" s="7">
        <f>$F$2009</f>
        <v>1.3535969689506793</v>
      </c>
      <c r="G2054" s="7">
        <f>$G$2009</f>
        <v>1.4417851403687865</v>
      </c>
      <c r="H2054" s="7">
        <f>$H$2009</f>
        <v>1.3535969689506793</v>
      </c>
      <c r="I2054" s="7">
        <f>$I$2009</f>
        <v>1.3535969689506793</v>
      </c>
      <c r="J2054" s="7">
        <f>$J$2009</f>
        <v>1.3535969689506793</v>
      </c>
      <c r="K2054" s="10"/>
    </row>
    <row r="2055" spans="1:11">
      <c r="A2055" s="11" t="s">
        <v>133</v>
      </c>
      <c r="B2055" s="7">
        <f>$B$2010</f>
        <v>1.8543540111793544</v>
      </c>
      <c r="C2055" s="7">
        <f>$C$2010</f>
        <v>2.3864144119853767</v>
      </c>
      <c r="D2055" s="7">
        <f>$D$2010</f>
        <v>2.3864144119853767</v>
      </c>
      <c r="E2055" s="7">
        <f>$E$2010</f>
        <v>2.2618749002147371</v>
      </c>
      <c r="F2055" s="7">
        <f>$F$2010</f>
        <v>2.2618749002147371</v>
      </c>
      <c r="G2055" s="7">
        <f>$G$2010</f>
        <v>2.3864144119853767</v>
      </c>
      <c r="H2055" s="7">
        <f>$H$2010</f>
        <v>2.2618749002147371</v>
      </c>
      <c r="I2055" s="7">
        <f>$I$2010</f>
        <v>2.2618749002147371</v>
      </c>
      <c r="J2055" s="7">
        <f>$J$2010</f>
        <v>2.2618749002147371</v>
      </c>
      <c r="K2055" s="10"/>
    </row>
    <row r="2056" spans="1:11">
      <c r="A2056" s="11" t="s">
        <v>134</v>
      </c>
      <c r="B2056" s="7">
        <f>$B$2011</f>
        <v>1.0154099894122635</v>
      </c>
      <c r="C2056" s="7">
        <f>$C$2011</f>
        <v>0.70019681708074122</v>
      </c>
      <c r="D2056" s="7">
        <f>$D$2011</f>
        <v>0.70019681708074122</v>
      </c>
      <c r="E2056" s="7">
        <f>$E$2011</f>
        <v>0.77682072099444177</v>
      </c>
      <c r="F2056" s="7">
        <f>$F$2011</f>
        <v>0.77682072099444177</v>
      </c>
      <c r="G2056" s="7">
        <f>$G$2011</f>
        <v>0.70019681708074122</v>
      </c>
      <c r="H2056" s="7">
        <f>$H$2011</f>
        <v>0.77682072099444177</v>
      </c>
      <c r="I2056" s="7">
        <f>$I$2011</f>
        <v>0.77682072099444177</v>
      </c>
      <c r="J2056" s="7">
        <f>$J$2011</f>
        <v>0.77682072099444177</v>
      </c>
      <c r="K2056" s="10"/>
    </row>
    <row r="2057" spans="1:11">
      <c r="A2057" s="11" t="s">
        <v>135</v>
      </c>
      <c r="B2057" s="7">
        <f>$B$2012</f>
        <v>18.934409050501419</v>
      </c>
      <c r="C2057" s="7">
        <f>$C$2012</f>
        <v>27.085319555178561</v>
      </c>
      <c r="D2057" s="7">
        <f>$D$2012</f>
        <v>27.085319555178561</v>
      </c>
      <c r="E2057" s="7">
        <f>$E$2012</f>
        <v>25.210058083981387</v>
      </c>
      <c r="F2057" s="7">
        <f>$F$2012</f>
        <v>25.210058083981387</v>
      </c>
      <c r="G2057" s="7">
        <f>$G$2012</f>
        <v>27.085319555178561</v>
      </c>
      <c r="H2057" s="7">
        <f>$H$2012</f>
        <v>25.210058083981387</v>
      </c>
      <c r="I2057" s="7">
        <f>$I$2012</f>
        <v>25.210058083981387</v>
      </c>
      <c r="J2057" s="7">
        <f>$J$2012</f>
        <v>25.210058083981387</v>
      </c>
      <c r="K2057" s="10"/>
    </row>
    <row r="2058" spans="1:11">
      <c r="A2058" s="11" t="s">
        <v>102</v>
      </c>
      <c r="B2058" s="7">
        <f>$B$1782</f>
        <v>-8.4325219101767992</v>
      </c>
      <c r="C2058" s="7">
        <f>$C$1782</f>
        <v>-8.3380845345165628</v>
      </c>
      <c r="D2058" s="7">
        <f>$D$1782</f>
        <v>-8.3380845345165628</v>
      </c>
      <c r="E2058" s="7">
        <f>$E$1782</f>
        <v>-7.6756974076108113</v>
      </c>
      <c r="F2058" s="7">
        <f>$F$1782</f>
        <v>-7.6756974076108113</v>
      </c>
      <c r="G2058" s="7">
        <f>$G$1782</f>
        <v>-8.3380845345165628</v>
      </c>
      <c r="H2058" s="7">
        <f>$H$1782</f>
        <v>-7.6756974076108113</v>
      </c>
      <c r="I2058" s="7">
        <f>$I$1782</f>
        <v>-7.6756974076108113</v>
      </c>
      <c r="J2058" s="7">
        <f>$J$1782</f>
        <v>-7.6756974076108113</v>
      </c>
      <c r="K2058" s="10"/>
    </row>
    <row r="2059" spans="1:11">
      <c r="A2059" s="11" t="s">
        <v>104</v>
      </c>
      <c r="B2059" s="7">
        <f>$B$1783</f>
        <v>-8.4325219101767992</v>
      </c>
      <c r="C2059" s="7">
        <f>$C$1783</f>
        <v>-8.3380845345165628</v>
      </c>
      <c r="D2059" s="7">
        <f>$D$1783</f>
        <v>-8.3380845345165628</v>
      </c>
      <c r="E2059" s="7">
        <f>$E$1783</f>
        <v>-7.6756974076108113</v>
      </c>
      <c r="F2059" s="7">
        <f>$F$1783</f>
        <v>-7.6756974076108113</v>
      </c>
      <c r="G2059" s="7">
        <f>$G$1783</f>
        <v>-8.3380845345165628</v>
      </c>
      <c r="H2059" s="7">
        <f>$H$1783</f>
        <v>-7.6756974076108113</v>
      </c>
      <c r="I2059" s="7">
        <f>$I$1783</f>
        <v>-7.6756974076108113</v>
      </c>
      <c r="J2059" s="7">
        <f>$J$1783</f>
        <v>-7.6756974076108113</v>
      </c>
      <c r="K2059" s="10"/>
    </row>
    <row r="2060" spans="1:11">
      <c r="A2060" s="11" t="s">
        <v>113</v>
      </c>
      <c r="B2060" s="7">
        <f>$B$1784</f>
        <v>-8.4325219101767992</v>
      </c>
      <c r="C2060" s="7">
        <f>$C$1784</f>
        <v>-8.3380845345165628</v>
      </c>
      <c r="D2060" s="7">
        <f>$D$1784</f>
        <v>-8.3380845345165628</v>
      </c>
      <c r="E2060" s="7">
        <f>$E$1784</f>
        <v>-7.6756974076108113</v>
      </c>
      <c r="F2060" s="7">
        <f>$F$1784</f>
        <v>-7.6756974076108113</v>
      </c>
      <c r="G2060" s="7">
        <f>$G$1784</f>
        <v>-8.3380845345165628</v>
      </c>
      <c r="H2060" s="7">
        <f>$H$1784</f>
        <v>-7.6756974076108113</v>
      </c>
      <c r="I2060" s="7">
        <f>$I$1784</f>
        <v>-7.6756974076108113</v>
      </c>
      <c r="J2060" s="7">
        <f>$J$1784</f>
        <v>-7.6756974076108113</v>
      </c>
      <c r="K2060" s="10"/>
    </row>
    <row r="2062" spans="1:11" ht="21" customHeight="1">
      <c r="A2062" s="1" t="s">
        <v>1708</v>
      </c>
    </row>
    <row r="2063" spans="1:11">
      <c r="A2063" s="2" t="s">
        <v>255</v>
      </c>
    </row>
    <row r="2064" spans="1:11">
      <c r="A2064" s="12" t="s">
        <v>1707</v>
      </c>
    </row>
    <row r="2065" spans="1:11">
      <c r="A2065" s="12" t="s">
        <v>1706</v>
      </c>
    </row>
    <row r="2066" spans="1:11">
      <c r="A2066" s="2" t="s">
        <v>273</v>
      </c>
    </row>
    <row r="2068" spans="1:11">
      <c r="B2068" s="3" t="s">
        <v>60</v>
      </c>
      <c r="C2068" s="3" t="s">
        <v>61</v>
      </c>
      <c r="D2068" s="3" t="s">
        <v>62</v>
      </c>
      <c r="E2068" s="3" t="s">
        <v>63</v>
      </c>
      <c r="F2068" s="3" t="s">
        <v>64</v>
      </c>
      <c r="G2068" s="3" t="s">
        <v>69</v>
      </c>
      <c r="H2068" s="3" t="s">
        <v>65</v>
      </c>
      <c r="I2068" s="3" t="s">
        <v>66</v>
      </c>
      <c r="J2068" s="3" t="s">
        <v>67</v>
      </c>
    </row>
    <row r="2069" spans="1:11">
      <c r="A2069" s="11" t="s">
        <v>93</v>
      </c>
      <c r="B2069" s="7">
        <f>$B$1793</f>
        <v>5.5890497222905053E-2</v>
      </c>
      <c r="C2069" s="7">
        <f>$C$1793</f>
        <v>0.22778453061339302</v>
      </c>
      <c r="D2069" s="7">
        <f>$D$1793</f>
        <v>0.22778453061339302</v>
      </c>
      <c r="E2069" s="7">
        <f>$E$1793</f>
        <v>0.18404599827828949</v>
      </c>
      <c r="F2069" s="7">
        <f>$F$1793</f>
        <v>0.18404599827828949</v>
      </c>
      <c r="G2069" s="7">
        <f>$G$1793</f>
        <v>0.22778453061339302</v>
      </c>
      <c r="H2069" s="7">
        <f>$H$1793</f>
        <v>0.18404599827828949</v>
      </c>
      <c r="I2069" s="7">
        <f>$I$1793</f>
        <v>0.18404599827828949</v>
      </c>
      <c r="J2069" s="7">
        <f>$J$1793</f>
        <v>0.18404599827828949</v>
      </c>
      <c r="K2069" s="10"/>
    </row>
    <row r="2070" spans="1:11">
      <c r="A2070" s="11" t="s">
        <v>95</v>
      </c>
      <c r="B2070" s="7">
        <f>$B$1794</f>
        <v>9.020161498959979E-2</v>
      </c>
      <c r="C2070" s="7">
        <f>$C$1794</f>
        <v>0.26836146536810473</v>
      </c>
      <c r="D2070" s="7">
        <f>$D$1794</f>
        <v>0.26836146536810473</v>
      </c>
      <c r="E2070" s="7">
        <f>$E$1794</f>
        <v>0.22750625807245378</v>
      </c>
      <c r="F2070" s="7">
        <f>$F$1794</f>
        <v>0.22750625807245378</v>
      </c>
      <c r="G2070" s="7">
        <f>$G$1794</f>
        <v>0.26836146536810473</v>
      </c>
      <c r="H2070" s="7">
        <f>$H$1794</f>
        <v>0.22750625807245378</v>
      </c>
      <c r="I2070" s="7">
        <f>$I$1794</f>
        <v>0.22750625807245378</v>
      </c>
      <c r="J2070" s="7">
        <f>$J$1794</f>
        <v>0.22750625807245378</v>
      </c>
      <c r="K2070" s="10"/>
    </row>
    <row r="2071" spans="1:11">
      <c r="A2071" s="11" t="s">
        <v>96</v>
      </c>
      <c r="B2071" s="7">
        <f>$B$1795</f>
        <v>2.2739924126820282E-2</v>
      </c>
      <c r="C2071" s="7">
        <f>$C$1795</f>
        <v>0.20526288806327439</v>
      </c>
      <c r="D2071" s="7">
        <f>$D$1795</f>
        <v>0.20526288806327439</v>
      </c>
      <c r="E2071" s="7">
        <f>$E$1795</f>
        <v>0.15374098381278284</v>
      </c>
      <c r="F2071" s="7">
        <f>$F$1795</f>
        <v>0.15374098381278284</v>
      </c>
      <c r="G2071" s="7">
        <f>$G$1795</f>
        <v>0.20526288806327439</v>
      </c>
      <c r="H2071" s="7">
        <f>$H$1795</f>
        <v>0.15374098381278284</v>
      </c>
      <c r="I2071" s="7">
        <f>$I$1795</f>
        <v>0.15374098381278284</v>
      </c>
      <c r="J2071" s="7">
        <f>$J$1795</f>
        <v>0.15374098381278284</v>
      </c>
      <c r="K2071" s="10"/>
    </row>
    <row r="2072" spans="1:11">
      <c r="A2072" s="11" t="s">
        <v>97</v>
      </c>
      <c r="B2072" s="7">
        <f>$B$1796</f>
        <v>2.1061605155627182E-2</v>
      </c>
      <c r="C2072" s="7">
        <f>$C$1796</f>
        <v>0.20830249144674179</v>
      </c>
      <c r="D2072" s="7">
        <f>$D$1796</f>
        <v>0.20830249144674179</v>
      </c>
      <c r="E2072" s="7">
        <f>$E$1796</f>
        <v>0.15513442675058242</v>
      </c>
      <c r="F2072" s="7">
        <f>$F$1796</f>
        <v>0.15513442675058242</v>
      </c>
      <c r="G2072" s="7">
        <f>$G$1796</f>
        <v>0.20830249144674179</v>
      </c>
      <c r="H2072" s="7">
        <f>$H$1796</f>
        <v>0.15513442675058242</v>
      </c>
      <c r="I2072" s="7">
        <f>$I$1796</f>
        <v>0.15513442675058242</v>
      </c>
      <c r="J2072" s="7">
        <f>$J$1796</f>
        <v>0.15513442675058242</v>
      </c>
      <c r="K2072" s="10"/>
    </row>
    <row r="2073" spans="1:11">
      <c r="A2073" s="11" t="s">
        <v>110</v>
      </c>
      <c r="B2073" s="7">
        <f>$B$1797</f>
        <v>2.0701233006206882E-2</v>
      </c>
      <c r="C2073" s="7">
        <f>$C$1797</f>
        <v>0.19486147750579638</v>
      </c>
      <c r="D2073" s="7">
        <f>$D$1797</f>
        <v>0.19486147750579638</v>
      </c>
      <c r="E2073" s="7">
        <f>$E$1797</f>
        <v>0.14556187223571082</v>
      </c>
      <c r="F2073" s="7">
        <f>$F$1797</f>
        <v>0.14556187223571082</v>
      </c>
      <c r="G2073" s="7">
        <f>$G$1797</f>
        <v>0.19486147750579638</v>
      </c>
      <c r="H2073" s="7">
        <f>$H$1797</f>
        <v>0.14556187223571082</v>
      </c>
      <c r="I2073" s="7">
        <f>$I$1797</f>
        <v>0.14556187223571082</v>
      </c>
      <c r="J2073" s="7">
        <f>$J$1797</f>
        <v>0.14556187223571082</v>
      </c>
      <c r="K2073" s="10"/>
    </row>
    <row r="2074" spans="1:11">
      <c r="A2074" s="11" t="s">
        <v>1647</v>
      </c>
      <c r="B2074" s="7">
        <f>$B$1798</f>
        <v>1.1928590401716519</v>
      </c>
      <c r="C2074" s="7">
        <f>$C$1798</f>
        <v>1.0101388073787751</v>
      </c>
      <c r="D2074" s="7">
        <f>$D$1798</f>
        <v>1.0101388073787751</v>
      </c>
      <c r="E2074" s="7">
        <f>$E$1798</f>
        <v>1.2490711841843545</v>
      </c>
      <c r="F2074" s="7">
        <f>$F$1798</f>
        <v>1.2490711841843545</v>
      </c>
      <c r="G2074" s="7">
        <f>$G$1798</f>
        <v>1.0101388073787751</v>
      </c>
      <c r="H2074" s="7">
        <f>$H$1798</f>
        <v>1.2490711841843545</v>
      </c>
      <c r="I2074" s="7">
        <f>$I$1798</f>
        <v>1.2490711841843545</v>
      </c>
      <c r="J2074" s="7">
        <f>$J$1798</f>
        <v>1.2490711841843545</v>
      </c>
      <c r="K2074" s="10"/>
    </row>
    <row r="2075" spans="1:11">
      <c r="A2075" s="11" t="s">
        <v>1646</v>
      </c>
      <c r="B2075" s="7">
        <f>$B$1799</f>
        <v>1.1960140731062889</v>
      </c>
      <c r="C2075" s="7">
        <f>$C$1799</f>
        <v>1.0229701683881727</v>
      </c>
      <c r="D2075" s="7">
        <f>$D$1799</f>
        <v>1.0229701683881727</v>
      </c>
      <c r="E2075" s="7">
        <f>$E$1799</f>
        <v>1.2278295997574824</v>
      </c>
      <c r="F2075" s="7">
        <f>$F$1799</f>
        <v>1.2278295997574824</v>
      </c>
      <c r="G2075" s="7">
        <f>$G$1799</f>
        <v>1.0229701683881727</v>
      </c>
      <c r="H2075" s="7">
        <f>$H$1799</f>
        <v>1.2278295997574824</v>
      </c>
      <c r="I2075" s="7">
        <f>$I$1799</f>
        <v>1.2278295997574824</v>
      </c>
      <c r="J2075" s="7">
        <f>$J$1799</f>
        <v>1.2278295997574824</v>
      </c>
      <c r="K2075" s="10"/>
    </row>
    <row r="2076" spans="1:11">
      <c r="A2076" s="11" t="s">
        <v>98</v>
      </c>
      <c r="B2076" s="7">
        <f>$B$1800</f>
        <v>0.99149730185528839</v>
      </c>
      <c r="C2076" s="7">
        <f>$C$1800</f>
        <v>0.82286440818632456</v>
      </c>
      <c r="D2076" s="7">
        <f>$D$1800</f>
        <v>0.82286440818632456</v>
      </c>
      <c r="E2076" s="7">
        <f>$E$1800</f>
        <v>1.0109419391550429</v>
      </c>
      <c r="F2076" s="7">
        <f>$F$1800</f>
        <v>1.0109419391550429</v>
      </c>
      <c r="G2076" s="7">
        <f>$G$1800</f>
        <v>0.82286440818632456</v>
      </c>
      <c r="H2076" s="7">
        <f>$H$1800</f>
        <v>1.0109419391550429</v>
      </c>
      <c r="I2076" s="7">
        <f>$I$1800</f>
        <v>1.0109419391550429</v>
      </c>
      <c r="J2076" s="7">
        <f>$J$1800</f>
        <v>1.0109419391550429</v>
      </c>
      <c r="K2076" s="10"/>
    </row>
    <row r="2077" spans="1:11">
      <c r="A2077" s="11" t="s">
        <v>99</v>
      </c>
      <c r="B2077" s="7">
        <f>$B$1801</f>
        <v>0.89592637190025537</v>
      </c>
      <c r="C2077" s="7">
        <f>$C$1801</f>
        <v>0.74354808874691691</v>
      </c>
      <c r="D2077" s="7">
        <f>$D$1801</f>
        <v>0.74354808874691691</v>
      </c>
      <c r="E2077" s="7">
        <f>$E$1801</f>
        <v>0.91349673070636361</v>
      </c>
      <c r="F2077" s="7">
        <f>$F$1801</f>
        <v>0.91349673070636361</v>
      </c>
      <c r="G2077" s="7">
        <f>$G$1801</f>
        <v>0.74354808874691691</v>
      </c>
      <c r="H2077" s="7">
        <f>$H$1801</f>
        <v>0.91349673070636361</v>
      </c>
      <c r="I2077" s="7">
        <f>$I$1801</f>
        <v>0.91349673070636361</v>
      </c>
      <c r="J2077" s="7">
        <f>$J$1801</f>
        <v>0.91349673070636361</v>
      </c>
      <c r="K2077" s="10"/>
    </row>
    <row r="2078" spans="1:11">
      <c r="A2078" s="11" t="s">
        <v>111</v>
      </c>
      <c r="B2078" s="7">
        <f>$B$1802</f>
        <v>0.92891983861297811</v>
      </c>
      <c r="C2078" s="7">
        <f>$C$1802</f>
        <v>0.77093005883375265</v>
      </c>
      <c r="D2078" s="7">
        <f>$D$1802</f>
        <v>0.77093005883375265</v>
      </c>
      <c r="E2078" s="7">
        <f>$E$1802</f>
        <v>0.94713724506338159</v>
      </c>
      <c r="F2078" s="7">
        <f>$F$1802</f>
        <v>0.94713724506338159</v>
      </c>
      <c r="G2078" s="7">
        <f>$G$1802</f>
        <v>0.77093005883375265</v>
      </c>
      <c r="H2078" s="7">
        <f>$H$1802</f>
        <v>0.94713724506338159</v>
      </c>
      <c r="I2078" s="7">
        <f>$I$1802</f>
        <v>0.94713724506338159</v>
      </c>
      <c r="J2078" s="7">
        <f>$J$1802</f>
        <v>0.94713724506338159</v>
      </c>
      <c r="K2078" s="10"/>
    </row>
    <row r="2079" spans="1:11">
      <c r="A2079" s="11" t="s">
        <v>135</v>
      </c>
      <c r="B2079" s="7">
        <f>$B$2021</f>
        <v>1.2841817328648581</v>
      </c>
      <c r="C2079" s="7">
        <f>$C$2021</f>
        <v>0.76993301720901852</v>
      </c>
      <c r="D2079" s="7">
        <f>$D$2021</f>
        <v>0.76993301720901852</v>
      </c>
      <c r="E2079" s="7">
        <f>$E$2021</f>
        <v>0.89665492675820657</v>
      </c>
      <c r="F2079" s="7">
        <f>$F$2021</f>
        <v>0.89665492675820657</v>
      </c>
      <c r="G2079" s="7">
        <f>$G$2021</f>
        <v>0.76993301720901852</v>
      </c>
      <c r="H2079" s="7">
        <f>$H$2021</f>
        <v>0.89665492675820657</v>
      </c>
      <c r="I2079" s="7">
        <f>$I$2021</f>
        <v>0.89665492675820657</v>
      </c>
      <c r="J2079" s="7">
        <f>$J$2021</f>
        <v>0.89665492675820657</v>
      </c>
      <c r="K2079" s="10"/>
    </row>
    <row r="2080" spans="1:11">
      <c r="A2080" s="11" t="s">
        <v>102</v>
      </c>
      <c r="B2080" s="7">
        <f>$B$1803</f>
        <v>-0.85048253019981268</v>
      </c>
      <c r="C2080" s="7">
        <f>$C$1803</f>
        <v>-0.70583329130210692</v>
      </c>
      <c r="D2080" s="7">
        <f>$D$1803</f>
        <v>-0.70583329130210692</v>
      </c>
      <c r="E2080" s="7">
        <f>$E$1803</f>
        <v>-0.86716167223940099</v>
      </c>
      <c r="F2080" s="7">
        <f>$F$1803</f>
        <v>-0.86716167223940099</v>
      </c>
      <c r="G2080" s="7">
        <f>$G$1803</f>
        <v>-0.70583329130210692</v>
      </c>
      <c r="H2080" s="7">
        <f>$H$1803</f>
        <v>-0.86716167223940099</v>
      </c>
      <c r="I2080" s="7">
        <f>$I$1803</f>
        <v>-0.86716167223940099</v>
      </c>
      <c r="J2080" s="7">
        <f>$J$1803</f>
        <v>-0.86716167223940099</v>
      </c>
      <c r="K2080" s="10"/>
    </row>
    <row r="2081" spans="1:11">
      <c r="A2081" s="11" t="s">
        <v>104</v>
      </c>
      <c r="B2081" s="7">
        <f>$B$1804</f>
        <v>-0.85048253019981268</v>
      </c>
      <c r="C2081" s="7">
        <f>$C$1804</f>
        <v>-0.70583329130210692</v>
      </c>
      <c r="D2081" s="7">
        <f>$D$1804</f>
        <v>-0.70583329130210692</v>
      </c>
      <c r="E2081" s="7">
        <f>$E$1804</f>
        <v>-0.86716167223940099</v>
      </c>
      <c r="F2081" s="7">
        <f>$F$1804</f>
        <v>-0.86716167223940099</v>
      </c>
      <c r="G2081" s="7">
        <f>$G$1804</f>
        <v>-0.70583329130210692</v>
      </c>
      <c r="H2081" s="7">
        <f>$H$1804</f>
        <v>-0.86716167223940099</v>
      </c>
      <c r="I2081" s="7">
        <f>$I$1804</f>
        <v>-0.86716167223940099</v>
      </c>
      <c r="J2081" s="7">
        <f>$J$1804</f>
        <v>-0.86716167223940099</v>
      </c>
      <c r="K2081" s="10"/>
    </row>
    <row r="2082" spans="1:11">
      <c r="A2082" s="11" t="s">
        <v>113</v>
      </c>
      <c r="B2082" s="7">
        <f>$B$1805</f>
        <v>-0.85048253019981268</v>
      </c>
      <c r="C2082" s="7">
        <f>$C$1805</f>
        <v>-0.70583329130210692</v>
      </c>
      <c r="D2082" s="7">
        <f>$D$1805</f>
        <v>-0.70583329130210692</v>
      </c>
      <c r="E2082" s="7">
        <f>$E$1805</f>
        <v>-0.86716167223940099</v>
      </c>
      <c r="F2082" s="7">
        <f>$F$1805</f>
        <v>-0.86716167223940099</v>
      </c>
      <c r="G2082" s="7">
        <f>$G$1805</f>
        <v>-0.70583329130210692</v>
      </c>
      <c r="H2082" s="7">
        <f>$H$1805</f>
        <v>-0.86716167223940099</v>
      </c>
      <c r="I2082" s="7">
        <f>$I$1805</f>
        <v>-0.86716167223940099</v>
      </c>
      <c r="J2082" s="7">
        <f>$J$1805</f>
        <v>-0.86716167223940099</v>
      </c>
      <c r="K2082" s="10"/>
    </row>
    <row r="2084" spans="1:11" ht="21" customHeight="1">
      <c r="A2084" s="1" t="s">
        <v>1705</v>
      </c>
    </row>
    <row r="2085" spans="1:11">
      <c r="A2085" s="2" t="s">
        <v>255</v>
      </c>
    </row>
    <row r="2086" spans="1:11">
      <c r="A2086" s="12" t="s">
        <v>1704</v>
      </c>
    </row>
    <row r="2087" spans="1:11">
      <c r="A2087" s="12" t="s">
        <v>1703</v>
      </c>
    </row>
    <row r="2088" spans="1:11">
      <c r="A2088" s="2" t="s">
        <v>273</v>
      </c>
    </row>
    <row r="2090" spans="1:11">
      <c r="B2090" s="3" t="s">
        <v>60</v>
      </c>
      <c r="C2090" s="3" t="s">
        <v>61</v>
      </c>
      <c r="D2090" s="3" t="s">
        <v>62</v>
      </c>
      <c r="E2090" s="3" t="s">
        <v>63</v>
      </c>
      <c r="F2090" s="3" t="s">
        <v>64</v>
      </c>
      <c r="G2090" s="3" t="s">
        <v>69</v>
      </c>
      <c r="H2090" s="3" t="s">
        <v>65</v>
      </c>
      <c r="I2090" s="3" t="s">
        <v>66</v>
      </c>
      <c r="J2090" s="3" t="s">
        <v>67</v>
      </c>
    </row>
    <row r="2091" spans="1:11">
      <c r="A2091" s="11" t="s">
        <v>1647</v>
      </c>
      <c r="B2091" s="7">
        <f>$B$1814</f>
        <v>1.8036217093448652E-2</v>
      </c>
      <c r="C2091" s="7">
        <f>$C$1814</f>
        <v>0.21756540739679406</v>
      </c>
      <c r="D2091" s="7">
        <f>$D$1814</f>
        <v>0.21756540739679406</v>
      </c>
      <c r="E2091" s="7">
        <f>$E$1814</f>
        <v>0.16149837572047743</v>
      </c>
      <c r="F2091" s="7">
        <f>$F$1814</f>
        <v>0.16149837572047743</v>
      </c>
      <c r="G2091" s="7">
        <f>$G$1814</f>
        <v>0.21756540739679406</v>
      </c>
      <c r="H2091" s="7">
        <f>$H$1814</f>
        <v>0.16149837572047743</v>
      </c>
      <c r="I2091" s="7">
        <f>$I$1814</f>
        <v>0.16149837572047743</v>
      </c>
      <c r="J2091" s="7">
        <f>$J$1814</f>
        <v>0.16149837572047743</v>
      </c>
      <c r="K2091" s="10"/>
    </row>
    <row r="2092" spans="1:11">
      <c r="A2092" s="11" t="s">
        <v>1646</v>
      </c>
      <c r="B2092" s="7">
        <f>$B$1815</f>
        <v>1.8083921689741864E-2</v>
      </c>
      <c r="C2092" s="7">
        <f>$C$1815</f>
        <v>0.22032904766590619</v>
      </c>
      <c r="D2092" s="7">
        <f>$D$1815</f>
        <v>0.22032904766590619</v>
      </c>
      <c r="E2092" s="7">
        <f>$E$1815</f>
        <v>0.15875194987533287</v>
      </c>
      <c r="F2092" s="7">
        <f>$F$1815</f>
        <v>0.15875194987533287</v>
      </c>
      <c r="G2092" s="7">
        <f>$G$1815</f>
        <v>0.22032904766590619</v>
      </c>
      <c r="H2092" s="7">
        <f>$H$1815</f>
        <v>0.15875194987533287</v>
      </c>
      <c r="I2092" s="7">
        <f>$I$1815</f>
        <v>0.15875194987533287</v>
      </c>
      <c r="J2092" s="7">
        <f>$J$1815</f>
        <v>0.15875194987533287</v>
      </c>
      <c r="K2092" s="10"/>
    </row>
    <row r="2093" spans="1:11">
      <c r="A2093" s="11" t="s">
        <v>98</v>
      </c>
      <c r="B2093" s="7">
        <f>$B$1816</f>
        <v>1.499159580603693E-2</v>
      </c>
      <c r="C2093" s="7">
        <f>$C$1816</f>
        <v>0.17722993007657931</v>
      </c>
      <c r="D2093" s="7">
        <f>$D$1816</f>
        <v>0.17722993007657931</v>
      </c>
      <c r="E2093" s="7">
        <f>$E$1816</f>
        <v>0.13070950894432953</v>
      </c>
      <c r="F2093" s="7">
        <f>$F$1816</f>
        <v>0.13070950894432953</v>
      </c>
      <c r="G2093" s="7">
        <f>$G$1816</f>
        <v>0.17722993007657931</v>
      </c>
      <c r="H2093" s="7">
        <f>$H$1816</f>
        <v>0.13070950894432953</v>
      </c>
      <c r="I2093" s="7">
        <f>$I$1816</f>
        <v>0.13070950894432953</v>
      </c>
      <c r="J2093" s="7">
        <f>$J$1816</f>
        <v>0.13070950894432953</v>
      </c>
      <c r="K2093" s="10"/>
    </row>
    <row r="2094" spans="1:11">
      <c r="A2094" s="11" t="s">
        <v>99</v>
      </c>
      <c r="B2094" s="7">
        <f>$B$1817</f>
        <v>1.3546548250171734E-2</v>
      </c>
      <c r="C2094" s="7">
        <f>$C$1817</f>
        <v>0.16014664684263635</v>
      </c>
      <c r="D2094" s="7">
        <f>$D$1817</f>
        <v>0.16014664684263635</v>
      </c>
      <c r="E2094" s="7">
        <f>$E$1817</f>
        <v>0.11811035279897221</v>
      </c>
      <c r="F2094" s="7">
        <f>$F$1817</f>
        <v>0.11811035279897221</v>
      </c>
      <c r="G2094" s="7">
        <f>$G$1817</f>
        <v>0.16014664684263635</v>
      </c>
      <c r="H2094" s="7">
        <f>$H$1817</f>
        <v>0.11811035279897221</v>
      </c>
      <c r="I2094" s="7">
        <f>$I$1817</f>
        <v>0.11811035279897221</v>
      </c>
      <c r="J2094" s="7">
        <f>$J$1817</f>
        <v>0.11811035279897221</v>
      </c>
      <c r="K2094" s="10"/>
    </row>
    <row r="2095" spans="1:11">
      <c r="A2095" s="11" t="s">
        <v>111</v>
      </c>
      <c r="B2095" s="7">
        <f>$B$1818</f>
        <v>1.4045414678019324E-2</v>
      </c>
      <c r="C2095" s="7">
        <f>$C$1818</f>
        <v>0.16604422194197158</v>
      </c>
      <c r="D2095" s="7">
        <f>$D$1818</f>
        <v>0.16604422194197158</v>
      </c>
      <c r="E2095" s="7">
        <f>$E$1818</f>
        <v>0.12245989547984631</v>
      </c>
      <c r="F2095" s="7">
        <f>$F$1818</f>
        <v>0.12245989547984631</v>
      </c>
      <c r="G2095" s="7">
        <f>$G$1818</f>
        <v>0.16604422194197158</v>
      </c>
      <c r="H2095" s="7">
        <f>$H$1818</f>
        <v>0.12245989547984631</v>
      </c>
      <c r="I2095" s="7">
        <f>$I$1818</f>
        <v>0.12245989547984631</v>
      </c>
      <c r="J2095" s="7">
        <f>$J$1818</f>
        <v>0.12245989547984631</v>
      </c>
      <c r="K2095" s="10"/>
    </row>
    <row r="2096" spans="1:11">
      <c r="A2096" s="11" t="s">
        <v>135</v>
      </c>
      <c r="B2096" s="7">
        <f>$B$2030</f>
        <v>1.3309630718271901E-2</v>
      </c>
      <c r="C2096" s="7">
        <f>$C$2030</f>
        <v>0.15734581908848794</v>
      </c>
      <c r="D2096" s="7">
        <f>$D$2030</f>
        <v>0.15734581908848794</v>
      </c>
      <c r="E2096" s="7">
        <f>$E$2030</f>
        <v>0.11604470384101008</v>
      </c>
      <c r="F2096" s="7">
        <f>$F$2030</f>
        <v>0.11604470384101008</v>
      </c>
      <c r="G2096" s="7">
        <f>$G$2030</f>
        <v>0.15734581908848794</v>
      </c>
      <c r="H2096" s="7">
        <f>$H$2030</f>
        <v>0.11604470384101008</v>
      </c>
      <c r="I2096" s="7">
        <f>$I$2030</f>
        <v>0.11604470384101008</v>
      </c>
      <c r="J2096" s="7">
        <f>$J$2030</f>
        <v>0.11604470384101008</v>
      </c>
      <c r="K2096" s="10"/>
    </row>
    <row r="2097" spans="1:11">
      <c r="A2097" s="11" t="s">
        <v>102</v>
      </c>
      <c r="B2097" s="7">
        <f>$B$1819</f>
        <v>-1.2859430186036044E-2</v>
      </c>
      <c r="C2097" s="7">
        <f>$C$1819</f>
        <v>-0.15202356988427249</v>
      </c>
      <c r="D2097" s="7">
        <f>$D$1819</f>
        <v>-0.15202356988427249</v>
      </c>
      <c r="E2097" s="7">
        <f>$E$1819</f>
        <v>-0.11211947191397745</v>
      </c>
      <c r="F2097" s="7">
        <f>$F$1819</f>
        <v>-0.11211947191397745</v>
      </c>
      <c r="G2097" s="7">
        <f>$G$1819</f>
        <v>-0.15202356988427249</v>
      </c>
      <c r="H2097" s="7">
        <f>$H$1819</f>
        <v>-0.11211947191397745</v>
      </c>
      <c r="I2097" s="7">
        <f>$I$1819</f>
        <v>-0.11211947191397745</v>
      </c>
      <c r="J2097" s="7">
        <f>$J$1819</f>
        <v>-0.11211947191397745</v>
      </c>
      <c r="K2097" s="10"/>
    </row>
    <row r="2098" spans="1:11">
      <c r="A2098" s="11" t="s">
        <v>104</v>
      </c>
      <c r="B2098" s="7">
        <f>$B$1820</f>
        <v>-1.2859430186036044E-2</v>
      </c>
      <c r="C2098" s="7">
        <f>$C$1820</f>
        <v>-0.15202356988427249</v>
      </c>
      <c r="D2098" s="7">
        <f>$D$1820</f>
        <v>-0.15202356988427249</v>
      </c>
      <c r="E2098" s="7">
        <f>$E$1820</f>
        <v>-0.11211947191397745</v>
      </c>
      <c r="F2098" s="7">
        <f>$F$1820</f>
        <v>-0.11211947191397745</v>
      </c>
      <c r="G2098" s="7">
        <f>$G$1820</f>
        <v>-0.15202356988427249</v>
      </c>
      <c r="H2098" s="7">
        <f>$H$1820</f>
        <v>-0.11211947191397745</v>
      </c>
      <c r="I2098" s="7">
        <f>$I$1820</f>
        <v>-0.11211947191397745</v>
      </c>
      <c r="J2098" s="7">
        <f>$J$1820</f>
        <v>-0.11211947191397745</v>
      </c>
      <c r="K2098" s="10"/>
    </row>
    <row r="2099" spans="1:11">
      <c r="A2099" s="11" t="s">
        <v>113</v>
      </c>
      <c r="B2099" s="7">
        <f>$B$1821</f>
        <v>-1.2859430186036044E-2</v>
      </c>
      <c r="C2099" s="7">
        <f>$C$1821</f>
        <v>-0.15202356988427249</v>
      </c>
      <c r="D2099" s="7">
        <f>$D$1821</f>
        <v>-0.15202356988427249</v>
      </c>
      <c r="E2099" s="7">
        <f>$E$1821</f>
        <v>-0.11211947191397745</v>
      </c>
      <c r="F2099" s="7">
        <f>$F$1821</f>
        <v>-0.11211947191397745</v>
      </c>
      <c r="G2099" s="7">
        <f>$G$1821</f>
        <v>-0.15202356988427249</v>
      </c>
      <c r="H2099" s="7">
        <f>$H$1821</f>
        <v>-0.11211947191397745</v>
      </c>
      <c r="I2099" s="7">
        <f>$I$1821</f>
        <v>-0.11211947191397745</v>
      </c>
      <c r="J2099" s="7">
        <f>$J$1821</f>
        <v>-0.11211947191397745</v>
      </c>
      <c r="K2099" s="10"/>
    </row>
    <row r="2101" spans="1:11" ht="21" customHeight="1">
      <c r="A2101" s="1" t="str">
        <f>"Forecast simultaneous maximum load"&amp;" for "&amp;CDCM!B7&amp;" in "&amp;CDCM!C7&amp;" ("&amp;CDCM!D7&amp;")"</f>
        <v>Forecast simultaneous maximum load for 0 in 0 (0)</v>
      </c>
    </row>
    <row r="2103" spans="1:11" ht="21" customHeight="1">
      <c r="A2103" s="1" t="s">
        <v>545</v>
      </c>
    </row>
    <row r="2104" spans="1:11">
      <c r="A2104" s="2" t="s">
        <v>255</v>
      </c>
    </row>
    <row r="2105" spans="1:11">
      <c r="A2105" s="12" t="s">
        <v>469</v>
      </c>
    </row>
    <row r="2106" spans="1:11">
      <c r="A2106" s="12" t="s">
        <v>1702</v>
      </c>
    </row>
    <row r="2107" spans="1:11">
      <c r="A2107" s="12" t="s">
        <v>546</v>
      </c>
    </row>
    <row r="2108" spans="1:11">
      <c r="A2108" s="12" t="s">
        <v>453</v>
      </c>
    </row>
    <row r="2109" spans="1:11">
      <c r="A2109" s="2" t="s">
        <v>547</v>
      </c>
    </row>
    <row r="2111" spans="1:11">
      <c r="B2111" s="3" t="s">
        <v>60</v>
      </c>
      <c r="C2111" s="3" t="s">
        <v>61</v>
      </c>
      <c r="D2111" s="3" t="s">
        <v>62</v>
      </c>
      <c r="E2111" s="3" t="s">
        <v>63</v>
      </c>
      <c r="F2111" s="3" t="s">
        <v>64</v>
      </c>
      <c r="G2111" s="3" t="s">
        <v>69</v>
      </c>
      <c r="H2111" s="3" t="s">
        <v>65</v>
      </c>
      <c r="I2111" s="3" t="s">
        <v>66</v>
      </c>
      <c r="J2111" s="3" t="s">
        <v>67</v>
      </c>
    </row>
    <row r="2112" spans="1:11">
      <c r="A2112" s="11" t="s">
        <v>92</v>
      </c>
      <c r="B2112" s="15">
        <f t="shared" ref="B2112:J2112" si="227">($B$1170*B$2039)*B$570/(24*$F$14)*1000</f>
        <v>781973.44148305943</v>
      </c>
      <c r="C2112" s="15">
        <f t="shared" si="227"/>
        <v>774461.16815198516</v>
      </c>
      <c r="D2112" s="15">
        <f t="shared" si="227"/>
        <v>539717.42165070167</v>
      </c>
      <c r="E2112" s="15">
        <f t="shared" si="227"/>
        <v>532990.66118611651</v>
      </c>
      <c r="F2112" s="15">
        <f t="shared" si="227"/>
        <v>528922.03018469573</v>
      </c>
      <c r="G2112" s="15">
        <f t="shared" si="227"/>
        <v>226680.87007915528</v>
      </c>
      <c r="H2112" s="15">
        <f t="shared" si="227"/>
        <v>749088.45816942188</v>
      </c>
      <c r="I2112" s="15">
        <f t="shared" si="227"/>
        <v>734937.44500287541</v>
      </c>
      <c r="J2112" s="15">
        <f t="shared" si="227"/>
        <v>720712.84929314244</v>
      </c>
      <c r="K2112" s="10"/>
    </row>
    <row r="2113" spans="1:11">
      <c r="A2113" s="11" t="s">
        <v>129</v>
      </c>
      <c r="B2113" s="15">
        <f t="shared" ref="B2113:J2113" si="228">($B$1172*B$2041)*B$572/(24*$F$14)*1000</f>
        <v>69.016522106620442</v>
      </c>
      <c r="C2113" s="15">
        <f t="shared" si="228"/>
        <v>108.63108536946417</v>
      </c>
      <c r="D2113" s="15">
        <f t="shared" si="228"/>
        <v>75.704362875452148</v>
      </c>
      <c r="E2113" s="15">
        <f t="shared" si="228"/>
        <v>72.983591379051276</v>
      </c>
      <c r="F2113" s="15">
        <f t="shared" si="228"/>
        <v>72.426464727302786</v>
      </c>
      <c r="G2113" s="15">
        <f t="shared" si="228"/>
        <v>31.795769706507286</v>
      </c>
      <c r="H2113" s="15">
        <f t="shared" si="228"/>
        <v>102.5743412016554</v>
      </c>
      <c r="I2113" s="15">
        <f t="shared" si="228"/>
        <v>100.63661163572185</v>
      </c>
      <c r="J2113" s="15">
        <f t="shared" si="228"/>
        <v>98.688806249224029</v>
      </c>
      <c r="K2113" s="10"/>
    </row>
    <row r="2114" spans="1:11">
      <c r="A2114" s="11" t="s">
        <v>94</v>
      </c>
      <c r="B2114" s="15">
        <f t="shared" ref="B2114:J2114" si="229">($B$1173*B$2042)*B$573/(24*$F$14)*1000</f>
        <v>156052.48197006597</v>
      </c>
      <c r="C2114" s="15">
        <f t="shared" si="229"/>
        <v>154553.31481634738</v>
      </c>
      <c r="D2114" s="15">
        <f t="shared" si="229"/>
        <v>107707.29380698697</v>
      </c>
      <c r="E2114" s="15">
        <f t="shared" si="229"/>
        <v>106364.88547132055</v>
      </c>
      <c r="F2114" s="15">
        <f t="shared" si="229"/>
        <v>105552.93978069976</v>
      </c>
      <c r="G2114" s="15">
        <f t="shared" si="229"/>
        <v>45236.97419172847</v>
      </c>
      <c r="H2114" s="15">
        <f t="shared" si="229"/>
        <v>149489.87639626974</v>
      </c>
      <c r="I2114" s="15">
        <f t="shared" si="229"/>
        <v>146665.86651321989</v>
      </c>
      <c r="J2114" s="15">
        <f t="shared" si="229"/>
        <v>143827.17232264145</v>
      </c>
      <c r="K2114" s="10"/>
    </row>
    <row r="2115" spans="1:11">
      <c r="A2115" s="11" t="s">
        <v>130</v>
      </c>
      <c r="B2115" s="15">
        <f t="shared" ref="B2115:J2115" si="230">($B$1175*B$2044)*B$575/(24*$F$14)*1000</f>
        <v>45.399682985920634</v>
      </c>
      <c r="C2115" s="15">
        <f t="shared" si="230"/>
        <v>69.512110478059597</v>
      </c>
      <c r="D2115" s="15">
        <f t="shared" si="230"/>
        <v>48.442579929784799</v>
      </c>
      <c r="E2115" s="15">
        <f t="shared" si="230"/>
        <v>47.039325227937908</v>
      </c>
      <c r="F2115" s="15">
        <f t="shared" si="230"/>
        <v>46.680246409404027</v>
      </c>
      <c r="G2115" s="15">
        <f t="shared" si="230"/>
        <v>20.345843448554479</v>
      </c>
      <c r="H2115" s="15">
        <f t="shared" si="230"/>
        <v>66.111131346861669</v>
      </c>
      <c r="I2115" s="15">
        <f t="shared" si="230"/>
        <v>64.862227455816623</v>
      </c>
      <c r="J2115" s="15">
        <f t="shared" si="230"/>
        <v>63.60682950505889</v>
      </c>
      <c r="K2115" s="10"/>
    </row>
    <row r="2116" spans="1:11">
      <c r="A2116" s="11" t="s">
        <v>131</v>
      </c>
      <c r="B2116" s="15">
        <f t="shared" ref="B2116:J2116" si="231">($B$1184*B$2053)*B$584/(24*$F$14)*1000</f>
        <v>989.61481091467203</v>
      </c>
      <c r="C2116" s="15">
        <f t="shared" si="231"/>
        <v>984.06311813269315</v>
      </c>
      <c r="D2116" s="15">
        <f t="shared" si="231"/>
        <v>685.78778472195449</v>
      </c>
      <c r="E2116" s="15">
        <f t="shared" si="231"/>
        <v>676.60538750848855</v>
      </c>
      <c r="F2116" s="15">
        <f t="shared" si="231"/>
        <v>671.44046088628625</v>
      </c>
      <c r="G2116" s="15">
        <f t="shared" si="231"/>
        <v>288.03030158814772</v>
      </c>
      <c r="H2116" s="15">
        <f t="shared" si="231"/>
        <v>950.93089509287654</v>
      </c>
      <c r="I2116" s="15">
        <f t="shared" si="231"/>
        <v>932.96688100324604</v>
      </c>
      <c r="J2116" s="15">
        <f t="shared" si="231"/>
        <v>914.9094574999574</v>
      </c>
      <c r="K2116" s="10"/>
    </row>
    <row r="2117" spans="1:11">
      <c r="A2117" s="11" t="s">
        <v>132</v>
      </c>
      <c r="B2117" s="15">
        <f t="shared" ref="B2117:J2117" si="232">($B$1185*B$2054)*B$585/(24*$F$14)*1000</f>
        <v>805.91853913822774</v>
      </c>
      <c r="C2117" s="15">
        <f t="shared" si="232"/>
        <v>1067.0607340636893</v>
      </c>
      <c r="D2117" s="15">
        <f t="shared" si="232"/>
        <v>743.6283338876699</v>
      </c>
      <c r="E2117" s="15">
        <f t="shared" si="232"/>
        <v>689.44229055896369</v>
      </c>
      <c r="F2117" s="15">
        <f t="shared" si="232"/>
        <v>684.17937231042185</v>
      </c>
      <c r="G2117" s="15">
        <f t="shared" si="232"/>
        <v>312.32328433204378</v>
      </c>
      <c r="H2117" s="15">
        <f t="shared" si="232"/>
        <v>968.97244181032056</v>
      </c>
      <c r="I2117" s="15">
        <f t="shared" si="232"/>
        <v>950.66760526860298</v>
      </c>
      <c r="J2117" s="15">
        <f t="shared" si="232"/>
        <v>932.26758710211402</v>
      </c>
      <c r="K2117" s="10"/>
    </row>
    <row r="2118" spans="1:11">
      <c r="A2118" s="11" t="s">
        <v>133</v>
      </c>
      <c r="B2118" s="15">
        <f t="shared" ref="B2118:J2118" si="233">($B$1186*B$2055)*B$586/(24*$F$14)*1000</f>
        <v>86.642783302307507</v>
      </c>
      <c r="C2118" s="15">
        <f t="shared" si="233"/>
        <v>110.43157186736934</v>
      </c>
      <c r="D2118" s="15">
        <f t="shared" si="233"/>
        <v>76.959111299682505</v>
      </c>
      <c r="E2118" s="15">
        <f t="shared" si="233"/>
        <v>72.033733488292228</v>
      </c>
      <c r="F2118" s="15">
        <f t="shared" si="233"/>
        <v>71.483857660137318</v>
      </c>
      <c r="G2118" s="15">
        <f t="shared" si="233"/>
        <v>32.32276300545449</v>
      </c>
      <c r="H2118" s="15">
        <f t="shared" si="233"/>
        <v>101.23936925057968</v>
      </c>
      <c r="I2118" s="15">
        <f t="shared" si="233"/>
        <v>99.326858609661784</v>
      </c>
      <c r="J2118" s="15">
        <f t="shared" si="233"/>
        <v>97.404403281732854</v>
      </c>
      <c r="K2118" s="10"/>
    </row>
    <row r="2119" spans="1:11">
      <c r="A2119" s="11" t="s">
        <v>134</v>
      </c>
      <c r="B2119" s="15">
        <f t="shared" ref="B2119:J2119" si="234">($B$1187*B$2056)*B$587/(24*$F$14)*1000</f>
        <v>0</v>
      </c>
      <c r="C2119" s="15">
        <f t="shared" si="234"/>
        <v>0</v>
      </c>
      <c r="D2119" s="15">
        <f t="shared" si="234"/>
        <v>0</v>
      </c>
      <c r="E2119" s="15">
        <f t="shared" si="234"/>
        <v>0</v>
      </c>
      <c r="F2119" s="15">
        <f t="shared" si="234"/>
        <v>0</v>
      </c>
      <c r="G2119" s="15">
        <f t="shared" si="234"/>
        <v>0</v>
      </c>
      <c r="H2119" s="15">
        <f t="shared" si="234"/>
        <v>0</v>
      </c>
      <c r="I2119" s="15">
        <f t="shared" si="234"/>
        <v>0</v>
      </c>
      <c r="J2119" s="15">
        <f t="shared" si="234"/>
        <v>0</v>
      </c>
      <c r="K2119" s="10"/>
    </row>
    <row r="2121" spans="1:11" ht="21" customHeight="1">
      <c r="A2121" s="1" t="s">
        <v>548</v>
      </c>
    </row>
    <row r="2122" spans="1:11">
      <c r="A2122" s="2" t="s">
        <v>255</v>
      </c>
    </row>
    <row r="2123" spans="1:11">
      <c r="A2123" s="12" t="s">
        <v>469</v>
      </c>
    </row>
    <row r="2124" spans="1:11">
      <c r="A2124" s="12" t="s">
        <v>1702</v>
      </c>
    </row>
    <row r="2125" spans="1:11">
      <c r="A2125" s="12" t="s">
        <v>549</v>
      </c>
    </row>
    <row r="2126" spans="1:11">
      <c r="A2126" s="12" t="s">
        <v>1701</v>
      </c>
    </row>
    <row r="2127" spans="1:11">
      <c r="A2127" s="12" t="s">
        <v>550</v>
      </c>
    </row>
    <row r="2128" spans="1:11">
      <c r="A2128" s="12" t="s">
        <v>518</v>
      </c>
    </row>
    <row r="2129" spans="1:11">
      <c r="A2129" s="2" t="s">
        <v>551</v>
      </c>
    </row>
    <row r="2131" spans="1:11">
      <c r="B2131" s="3" t="s">
        <v>60</v>
      </c>
      <c r="C2131" s="3" t="s">
        <v>61</v>
      </c>
      <c r="D2131" s="3" t="s">
        <v>62</v>
      </c>
      <c r="E2131" s="3" t="s">
        <v>63</v>
      </c>
      <c r="F2131" s="3" t="s">
        <v>64</v>
      </c>
      <c r="G2131" s="3" t="s">
        <v>69</v>
      </c>
      <c r="H2131" s="3" t="s">
        <v>65</v>
      </c>
      <c r="I2131" s="3" t="s">
        <v>66</v>
      </c>
      <c r="J2131" s="3" t="s">
        <v>67</v>
      </c>
    </row>
    <row r="2132" spans="1:11">
      <c r="A2132" s="11" t="s">
        <v>93</v>
      </c>
      <c r="B2132" s="15">
        <f t="shared" ref="B2132:J2132" si="235">($B$1171*B$2040+$C$1171*B$2069)*B$571/(24*$F$14)*1000</f>
        <v>47837.096409040743</v>
      </c>
      <c r="C2132" s="15">
        <f t="shared" si="235"/>
        <v>49681.94460392397</v>
      </c>
      <c r="D2132" s="15">
        <f t="shared" si="235"/>
        <v>34623.054256169809</v>
      </c>
      <c r="E2132" s="15">
        <f t="shared" si="235"/>
        <v>33379.186161832062</v>
      </c>
      <c r="F2132" s="15">
        <f t="shared" si="235"/>
        <v>33124.383214031812</v>
      </c>
      <c r="G2132" s="15">
        <f t="shared" si="235"/>
        <v>14541.654111483822</v>
      </c>
      <c r="H2132" s="15">
        <f t="shared" si="235"/>
        <v>46912.572616700447</v>
      </c>
      <c r="I2132" s="15">
        <f t="shared" si="235"/>
        <v>46026.348265576686</v>
      </c>
      <c r="J2132" s="15">
        <f t="shared" si="235"/>
        <v>45135.51571850101</v>
      </c>
      <c r="K2132" s="10"/>
    </row>
    <row r="2133" spans="1:11">
      <c r="A2133" s="11" t="s">
        <v>95</v>
      </c>
      <c r="B2133" s="15">
        <f t="shared" ref="B2133:J2133" si="236">($B$1174*B$2043+$C$1174*B$2070)*B$574/(24*$F$14)*1000</f>
        <v>52578.238952371117</v>
      </c>
      <c r="C2133" s="15">
        <f t="shared" si="236"/>
        <v>51530.886471774662</v>
      </c>
      <c r="D2133" s="15">
        <f t="shared" si="236"/>
        <v>35911.570942009086</v>
      </c>
      <c r="E2133" s="15">
        <f t="shared" si="236"/>
        <v>35931.715285532278</v>
      </c>
      <c r="F2133" s="15">
        <f t="shared" si="236"/>
        <v>35657.427382589274</v>
      </c>
      <c r="G2133" s="15">
        <f t="shared" si="236"/>
        <v>15082.830052338642</v>
      </c>
      <c r="H2133" s="15">
        <f t="shared" si="236"/>
        <v>50500.009029657529</v>
      </c>
      <c r="I2133" s="15">
        <f t="shared" si="236"/>
        <v>49546.014498176206</v>
      </c>
      <c r="J2133" s="15">
        <f t="shared" si="236"/>
        <v>48587.059378856669</v>
      </c>
      <c r="K2133" s="10"/>
    </row>
    <row r="2134" spans="1:11">
      <c r="A2134" s="11" t="s">
        <v>96</v>
      </c>
      <c r="B2134" s="15">
        <f t="shared" ref="B2134:J2134" si="237">($B$1176*B$2045+$C$1176*B$2071)*B$576/(24*$F$14)*1000</f>
        <v>88580.832911257254</v>
      </c>
      <c r="C2134" s="15">
        <f t="shared" si="237"/>
        <v>85519.258147551285</v>
      </c>
      <c r="D2134" s="15">
        <f t="shared" si="237"/>
        <v>59597.866758142161</v>
      </c>
      <c r="E2134" s="15">
        <f t="shared" si="237"/>
        <v>59699.168237598358</v>
      </c>
      <c r="F2134" s="15">
        <f t="shared" si="237"/>
        <v>59243.449396089964</v>
      </c>
      <c r="G2134" s="15">
        <f t="shared" si="237"/>
        <v>25031.054677239117</v>
      </c>
      <c r="H2134" s="15">
        <f t="shared" si="237"/>
        <v>83903.830115108882</v>
      </c>
      <c r="I2134" s="15">
        <f t="shared" si="237"/>
        <v>82318.804752971962</v>
      </c>
      <c r="J2134" s="15">
        <f t="shared" si="237"/>
        <v>80725.537564204758</v>
      </c>
      <c r="K2134" s="10"/>
    </row>
    <row r="2135" spans="1:11">
      <c r="A2135" s="11" t="s">
        <v>97</v>
      </c>
      <c r="B2135" s="15">
        <f t="shared" ref="B2135:J2135" si="238">($B$1177*B$2046+$C$1177*B$2072)*B$577/(24*$F$14)*1000</f>
        <v>119.61661860833138</v>
      </c>
      <c r="C2135" s="15">
        <f t="shared" si="238"/>
        <v>115.3971651444102</v>
      </c>
      <c r="D2135" s="15">
        <f t="shared" si="238"/>
        <v>80.419603975959063</v>
      </c>
      <c r="E2135" s="15">
        <f t="shared" si="238"/>
        <v>80.693944968904958</v>
      </c>
      <c r="F2135" s="15">
        <f t="shared" si="238"/>
        <v>80.077960656165232</v>
      </c>
      <c r="G2135" s="15">
        <f t="shared" si="238"/>
        <v>33.77616706338128</v>
      </c>
      <c r="H2135" s="15">
        <f t="shared" si="238"/>
        <v>113.41081039927931</v>
      </c>
      <c r="I2135" s="15">
        <f t="shared" si="238"/>
        <v>111.26836933816513</v>
      </c>
      <c r="J2135" s="15">
        <f t="shared" si="238"/>
        <v>0</v>
      </c>
      <c r="K2135" s="10"/>
    </row>
    <row r="2136" spans="1:11">
      <c r="A2136" s="11" t="s">
        <v>110</v>
      </c>
      <c r="B2136" s="15">
        <f t="shared" ref="B2136:J2136" si="239">($B$1178*B$2047+$C$1178*B$2073)*B$578/(24*$F$14)*1000</f>
        <v>161.87127648972003</v>
      </c>
      <c r="C2136" s="15">
        <f t="shared" si="239"/>
        <v>154.54669748022869</v>
      </c>
      <c r="D2136" s="15">
        <f t="shared" si="239"/>
        <v>107.70268222446344</v>
      </c>
      <c r="E2136" s="15">
        <f t="shared" si="239"/>
        <v>108.66276808080799</v>
      </c>
      <c r="F2136" s="15">
        <f t="shared" si="239"/>
        <v>107.83328130156519</v>
      </c>
      <c r="G2136" s="15">
        <f t="shared" si="239"/>
        <v>45.235037330888076</v>
      </c>
      <c r="H2136" s="15">
        <f t="shared" si="239"/>
        <v>152.71942142650474</v>
      </c>
      <c r="I2136" s="15">
        <f t="shared" si="239"/>
        <v>0</v>
      </c>
      <c r="J2136" s="15">
        <f t="shared" si="239"/>
        <v>0</v>
      </c>
      <c r="K2136" s="10"/>
    </row>
    <row r="2138" spans="1:11" ht="21" customHeight="1">
      <c r="A2138" s="1" t="s">
        <v>552</v>
      </c>
    </row>
    <row r="2139" spans="1:11">
      <c r="A2139" s="2" t="s">
        <v>255</v>
      </c>
    </row>
    <row r="2140" spans="1:11">
      <c r="A2140" s="12" t="s">
        <v>469</v>
      </c>
    </row>
    <row r="2141" spans="1:11">
      <c r="A2141" s="12" t="s">
        <v>1702</v>
      </c>
    </row>
    <row r="2142" spans="1:11">
      <c r="A2142" s="12" t="s">
        <v>549</v>
      </c>
    </row>
    <row r="2143" spans="1:11">
      <c r="A2143" s="12" t="s">
        <v>1701</v>
      </c>
    </row>
    <row r="2144" spans="1:11">
      <c r="A2144" s="12" t="s">
        <v>553</v>
      </c>
    </row>
    <row r="2145" spans="1:11">
      <c r="A2145" s="12" t="s">
        <v>1700</v>
      </c>
    </row>
    <row r="2146" spans="1:11">
      <c r="A2146" s="12" t="s">
        <v>554</v>
      </c>
    </row>
    <row r="2147" spans="1:11">
      <c r="A2147" s="12" t="s">
        <v>481</v>
      </c>
    </row>
    <row r="2148" spans="1:11">
      <c r="A2148" s="2" t="s">
        <v>555</v>
      </c>
    </row>
    <row r="2150" spans="1:11">
      <c r="B2150" s="3" t="s">
        <v>60</v>
      </c>
      <c r="C2150" s="3" t="s">
        <v>61</v>
      </c>
      <c r="D2150" s="3" t="s">
        <v>62</v>
      </c>
      <c r="E2150" s="3" t="s">
        <v>63</v>
      </c>
      <c r="F2150" s="3" t="s">
        <v>64</v>
      </c>
      <c r="G2150" s="3" t="s">
        <v>69</v>
      </c>
      <c r="H2150" s="3" t="s">
        <v>65</v>
      </c>
      <c r="I2150" s="3" t="s">
        <v>66</v>
      </c>
      <c r="J2150" s="3" t="s">
        <v>67</v>
      </c>
    </row>
    <row r="2151" spans="1:11">
      <c r="A2151" s="11" t="s">
        <v>1647</v>
      </c>
      <c r="B2151" s="15">
        <f t="shared" ref="B2151:J2151" si="240">($B$1179*B$2048+$C$1179*B$2074+$D$1179*B$2091)*B$579/(24*$F$14)*1000</f>
        <v>0</v>
      </c>
      <c r="C2151" s="15">
        <f t="shared" si="240"/>
        <v>0</v>
      </c>
      <c r="D2151" s="15">
        <f t="shared" si="240"/>
        <v>0</v>
      </c>
      <c r="E2151" s="15">
        <f t="shared" si="240"/>
        <v>0</v>
      </c>
      <c r="F2151" s="15">
        <f t="shared" si="240"/>
        <v>0</v>
      </c>
      <c r="G2151" s="15">
        <f t="shared" si="240"/>
        <v>0</v>
      </c>
      <c r="H2151" s="15">
        <f t="shared" si="240"/>
        <v>0</v>
      </c>
      <c r="I2151" s="15">
        <f t="shared" si="240"/>
        <v>0</v>
      </c>
      <c r="J2151" s="15">
        <f t="shared" si="240"/>
        <v>0</v>
      </c>
      <c r="K2151" s="10"/>
    </row>
    <row r="2152" spans="1:11">
      <c r="A2152" s="11" t="s">
        <v>1646</v>
      </c>
      <c r="B2152" s="15">
        <f t="shared" ref="B2152:J2152" si="241">($B$1180*B$2049+$C$1180*B$2075+$D$1180*B$2092)*B$580/(24*$F$14)*1000</f>
        <v>0</v>
      </c>
      <c r="C2152" s="15">
        <f t="shared" si="241"/>
        <v>0</v>
      </c>
      <c r="D2152" s="15">
        <f t="shared" si="241"/>
        <v>0</v>
      </c>
      <c r="E2152" s="15">
        <f t="shared" si="241"/>
        <v>0</v>
      </c>
      <c r="F2152" s="15">
        <f t="shared" si="241"/>
        <v>0</v>
      </c>
      <c r="G2152" s="15">
        <f t="shared" si="241"/>
        <v>0</v>
      </c>
      <c r="H2152" s="15">
        <f t="shared" si="241"/>
        <v>0</v>
      </c>
      <c r="I2152" s="15">
        <f t="shared" si="241"/>
        <v>0</v>
      </c>
      <c r="J2152" s="15">
        <f t="shared" si="241"/>
        <v>0</v>
      </c>
      <c r="K2152" s="10"/>
    </row>
    <row r="2153" spans="1:11">
      <c r="A2153" s="11" t="s">
        <v>98</v>
      </c>
      <c r="B2153" s="15">
        <f t="shared" ref="B2153:J2153" si="242">($B$1181*B$2050+$C$1181*B$2076+$D$1181*B$2093)*B$581/(24*$F$14)*1000</f>
        <v>211540.41066854115</v>
      </c>
      <c r="C2153" s="15">
        <f t="shared" si="242"/>
        <v>204094.22006907917</v>
      </c>
      <c r="D2153" s="15">
        <f t="shared" si="242"/>
        <v>142232.05857091746</v>
      </c>
      <c r="E2153" s="15">
        <f t="shared" si="242"/>
        <v>142246.37062735663</v>
      </c>
      <c r="F2153" s="15">
        <f t="shared" si="242"/>
        <v>141160.52046989586</v>
      </c>
      <c r="G2153" s="15">
        <f t="shared" si="242"/>
        <v>59737.34679787881</v>
      </c>
      <c r="H2153" s="15">
        <f t="shared" si="242"/>
        <v>199919.2897982774</v>
      </c>
      <c r="I2153" s="15">
        <f t="shared" si="242"/>
        <v>196142.61900415577</v>
      </c>
      <c r="J2153" s="15">
        <f t="shared" si="242"/>
        <v>192346.31024923665</v>
      </c>
      <c r="K2153" s="10"/>
    </row>
    <row r="2154" spans="1:11">
      <c r="A2154" s="11" t="s">
        <v>99</v>
      </c>
      <c r="B2154" s="15">
        <f t="shared" ref="B2154:J2154" si="243">($B$1182*B$2051+$C$1182*B$2077+$D$1182*B$2094)*B$582/(24*$F$14)*1000</f>
        <v>2670.3976577530843</v>
      </c>
      <c r="C2154" s="15">
        <f t="shared" si="243"/>
        <v>2579.8589606206933</v>
      </c>
      <c r="D2154" s="15">
        <f t="shared" si="243"/>
        <v>1797.8884981040228</v>
      </c>
      <c r="E2154" s="15">
        <f t="shared" si="243"/>
        <v>1786.5568492701209</v>
      </c>
      <c r="F2154" s="15">
        <f t="shared" si="243"/>
        <v>1772.9190107260742</v>
      </c>
      <c r="G2154" s="15">
        <f t="shared" si="243"/>
        <v>755.11168012524331</v>
      </c>
      <c r="H2154" s="15">
        <f t="shared" si="243"/>
        <v>2510.9053743522418</v>
      </c>
      <c r="I2154" s="15">
        <f t="shared" si="243"/>
        <v>2463.4719175623172</v>
      </c>
      <c r="J2154" s="15">
        <f t="shared" si="243"/>
        <v>0</v>
      </c>
      <c r="K2154" s="10"/>
    </row>
    <row r="2155" spans="1:11">
      <c r="A2155" s="11" t="s">
        <v>111</v>
      </c>
      <c r="B2155" s="15">
        <f t="shared" ref="B2155:J2155" si="244">($B$1183*B$2052+$C$1183*B$2078+$D$1183*B$2095)*B$583/(24*$F$14)*1000</f>
        <v>298593.83625810297</v>
      </c>
      <c r="C2155" s="15">
        <f t="shared" si="244"/>
        <v>291826.56725758046</v>
      </c>
      <c r="D2155" s="15">
        <f t="shared" si="244"/>
        <v>203372.21403272066</v>
      </c>
      <c r="E2155" s="15">
        <f t="shared" si="244"/>
        <v>202113.83093011539</v>
      </c>
      <c r="F2155" s="15">
        <f t="shared" si="244"/>
        <v>200570.97725889314</v>
      </c>
      <c r="G2155" s="15">
        <f t="shared" si="244"/>
        <v>85416.161453274413</v>
      </c>
      <c r="H2155" s="15">
        <f t="shared" si="244"/>
        <v>284059.64496493712</v>
      </c>
      <c r="I2155" s="15">
        <f t="shared" si="244"/>
        <v>0</v>
      </c>
      <c r="J2155" s="15">
        <f t="shared" si="244"/>
        <v>0</v>
      </c>
      <c r="K2155" s="10"/>
    </row>
    <row r="2156" spans="1:11">
      <c r="A2156" s="11" t="s">
        <v>135</v>
      </c>
      <c r="B2156" s="15">
        <f t="shared" ref="B2156:J2156" si="245">($B$1188*B$2057+$C$1188*B$2079+$D$1188*B$2096)*B$588/(24*$F$14)*1000</f>
        <v>20432.091522067596</v>
      </c>
      <c r="C2156" s="15">
        <f t="shared" si="245"/>
        <v>25991.740375837453</v>
      </c>
      <c r="D2156" s="15">
        <f t="shared" si="245"/>
        <v>18113.490613526086</v>
      </c>
      <c r="E2156" s="15">
        <f t="shared" si="245"/>
        <v>16931.386648237589</v>
      </c>
      <c r="F2156" s="15">
        <f t="shared" si="245"/>
        <v>16802.139421915163</v>
      </c>
      <c r="G2156" s="15">
        <f t="shared" si="245"/>
        <v>7607.6510554110755</v>
      </c>
      <c r="H2156" s="15">
        <f t="shared" si="245"/>
        <v>23796.113595637238</v>
      </c>
      <c r="I2156" s="15">
        <f t="shared" si="245"/>
        <v>23346.581750456498</v>
      </c>
      <c r="J2156" s="15">
        <f t="shared" si="245"/>
        <v>22894.712426254118</v>
      </c>
      <c r="K2156" s="10"/>
    </row>
    <row r="2157" spans="1:11">
      <c r="A2157" s="11" t="s">
        <v>102</v>
      </c>
      <c r="B2157" s="15">
        <f t="shared" ref="B2157:J2157" si="246">($B$1192*B$2058+$C$1192*B$2080+$D$1192*B$2097)*B$592/(24*$F$14)*1000</f>
        <v>-228.16588866994891</v>
      </c>
      <c r="C2157" s="15">
        <f t="shared" si="246"/>
        <v>-224.41107557415992</v>
      </c>
      <c r="D2157" s="15">
        <f t="shared" si="246"/>
        <v>-156.3907553786832</v>
      </c>
      <c r="E2157" s="15">
        <f t="shared" si="246"/>
        <v>-155.94052914648256</v>
      </c>
      <c r="F2157" s="15">
        <f t="shared" si="246"/>
        <v>-154.7501434278071</v>
      </c>
      <c r="G2157" s="15">
        <f t="shared" si="246"/>
        <v>-65.683987730378576</v>
      </c>
      <c r="H2157" s="15">
        <f t="shared" si="246"/>
        <v>-219.16566096018715</v>
      </c>
      <c r="I2157" s="15">
        <f t="shared" si="246"/>
        <v>-215.02540740257459</v>
      </c>
      <c r="J2157" s="15">
        <f t="shared" si="246"/>
        <v>0</v>
      </c>
      <c r="K2157" s="10"/>
    </row>
    <row r="2158" spans="1:11">
      <c r="A2158" s="11" t="s">
        <v>104</v>
      </c>
      <c r="B2158" s="15">
        <f t="shared" ref="B2158:J2158" si="247">($B$1194*B$2059+$C$1194*B$2081+$D$1194*B$2098)*B$594/(24*$F$14)*1000</f>
        <v>0</v>
      </c>
      <c r="C2158" s="15">
        <f t="shared" si="247"/>
        <v>0</v>
      </c>
      <c r="D2158" s="15">
        <f t="shared" si="247"/>
        <v>0</v>
      </c>
      <c r="E2158" s="15">
        <f t="shared" si="247"/>
        <v>0</v>
      </c>
      <c r="F2158" s="15">
        <f t="shared" si="247"/>
        <v>0</v>
      </c>
      <c r="G2158" s="15">
        <f t="shared" si="247"/>
        <v>0</v>
      </c>
      <c r="H2158" s="15">
        <f t="shared" si="247"/>
        <v>0</v>
      </c>
      <c r="I2158" s="15">
        <f t="shared" si="247"/>
        <v>0</v>
      </c>
      <c r="J2158" s="15">
        <f t="shared" si="247"/>
        <v>0</v>
      </c>
      <c r="K2158" s="10"/>
    </row>
    <row r="2159" spans="1:11">
      <c r="A2159" s="11" t="s">
        <v>113</v>
      </c>
      <c r="B2159" s="15">
        <f t="shared" ref="B2159:J2159" si="248">($B$1196*B$2060+$C$1196*B$2082+$D$1196*B$2099)*B$596/(24*$F$14)*1000</f>
        <v>-13628.404855404649</v>
      </c>
      <c r="C2159" s="15">
        <f t="shared" si="248"/>
        <v>-13432.764479445661</v>
      </c>
      <c r="D2159" s="15">
        <f t="shared" si="248"/>
        <v>-9361.2143624801793</v>
      </c>
      <c r="E2159" s="15">
        <f t="shared" si="248"/>
        <v>-9179.5847628641113</v>
      </c>
      <c r="F2159" s="15">
        <f t="shared" si="248"/>
        <v>-9109.5115967353777</v>
      </c>
      <c r="G2159" s="15">
        <f t="shared" si="248"/>
        <v>-3931.7022789340858</v>
      </c>
      <c r="H2159" s="15">
        <f t="shared" si="248"/>
        <v>0</v>
      </c>
      <c r="I2159" s="15">
        <f t="shared" si="248"/>
        <v>0</v>
      </c>
      <c r="J2159" s="15">
        <f t="shared" si="248"/>
        <v>0</v>
      </c>
      <c r="K2159" s="10"/>
    </row>
    <row r="2161" spans="1:11" ht="21" customHeight="1">
      <c r="A2161" s="1" t="s">
        <v>556</v>
      </c>
    </row>
    <row r="2162" spans="1:11">
      <c r="A2162" s="2" t="s">
        <v>255</v>
      </c>
    </row>
    <row r="2163" spans="1:11">
      <c r="A2163" s="12" t="s">
        <v>474</v>
      </c>
    </row>
    <row r="2164" spans="1:11">
      <c r="A2164" s="12" t="s">
        <v>557</v>
      </c>
    </row>
    <row r="2165" spans="1:11">
      <c r="A2165" s="12" t="s">
        <v>546</v>
      </c>
    </row>
    <row r="2166" spans="1:11">
      <c r="A2166" s="12" t="s">
        <v>453</v>
      </c>
    </row>
    <row r="2167" spans="1:11">
      <c r="A2167" s="2" t="s">
        <v>558</v>
      </c>
    </row>
    <row r="2169" spans="1:11">
      <c r="B2169" s="3" t="s">
        <v>60</v>
      </c>
      <c r="C2169" s="3" t="s">
        <v>61</v>
      </c>
      <c r="D2169" s="3" t="s">
        <v>62</v>
      </c>
      <c r="E2169" s="3" t="s">
        <v>63</v>
      </c>
      <c r="F2169" s="3" t="s">
        <v>64</v>
      </c>
      <c r="G2169" s="3" t="s">
        <v>69</v>
      </c>
      <c r="H2169" s="3" t="s">
        <v>65</v>
      </c>
      <c r="I2169" s="3" t="s">
        <v>66</v>
      </c>
      <c r="J2169" s="3" t="s">
        <v>67</v>
      </c>
    </row>
    <row r="2170" spans="1:11">
      <c r="A2170" s="11" t="s">
        <v>92</v>
      </c>
      <c r="B2170" s="15">
        <f t="shared" ref="B2170:J2170" si="249">$B1316*$B914*B570/(24*$F$14)*1000</f>
        <v>781973.44148305932</v>
      </c>
      <c r="C2170" s="15">
        <f t="shared" si="249"/>
        <v>774461.16815198504</v>
      </c>
      <c r="D2170" s="15">
        <f t="shared" si="249"/>
        <v>539717.42165070155</v>
      </c>
      <c r="E2170" s="15">
        <f t="shared" si="249"/>
        <v>532990.66118611651</v>
      </c>
      <c r="F2170" s="15">
        <f t="shared" si="249"/>
        <v>528922.03018469561</v>
      </c>
      <c r="G2170" s="15">
        <f t="shared" si="249"/>
        <v>226680.87007915525</v>
      </c>
      <c r="H2170" s="15">
        <f t="shared" si="249"/>
        <v>749088.45816942176</v>
      </c>
      <c r="I2170" s="15">
        <f t="shared" si="249"/>
        <v>734937.44500287529</v>
      </c>
      <c r="J2170" s="15">
        <f t="shared" si="249"/>
        <v>720712.84929314232</v>
      </c>
      <c r="K2170" s="10"/>
    </row>
    <row r="2171" spans="1:11">
      <c r="A2171" s="11" t="s">
        <v>93</v>
      </c>
      <c r="B2171" s="15">
        <f t="shared" ref="B2171:J2171" si="250">$B1317*$B915*B571/(24*$F$14)*1000</f>
        <v>51403.562744261493</v>
      </c>
      <c r="C2171" s="15">
        <f t="shared" si="250"/>
        <v>50909.738282917191</v>
      </c>
      <c r="D2171" s="15">
        <f t="shared" si="250"/>
        <v>35478.696431653567</v>
      </c>
      <c r="E2171" s="15">
        <f t="shared" si="250"/>
        <v>35036.508199594013</v>
      </c>
      <c r="F2171" s="15">
        <f t="shared" si="250"/>
        <v>34769.053938528399</v>
      </c>
      <c r="G2171" s="15">
        <f t="shared" si="250"/>
        <v>14901.023116512171</v>
      </c>
      <c r="H2171" s="15">
        <f t="shared" si="250"/>
        <v>49241.845717273201</v>
      </c>
      <c r="I2171" s="15">
        <f t="shared" si="250"/>
        <v>48311.619120546507</v>
      </c>
      <c r="J2171" s="15">
        <f t="shared" si="250"/>
        <v>47376.555524664975</v>
      </c>
      <c r="K2171" s="10"/>
    </row>
    <row r="2172" spans="1:11">
      <c r="A2172" s="11" t="s">
        <v>129</v>
      </c>
      <c r="B2172" s="15">
        <f t="shared" ref="B2172:J2172" si="251">$B1318*$B916*B572/(24*$F$14)*1000</f>
        <v>0</v>
      </c>
      <c r="C2172" s="15">
        <f t="shared" si="251"/>
        <v>0</v>
      </c>
      <c r="D2172" s="15">
        <f t="shared" si="251"/>
        <v>0</v>
      </c>
      <c r="E2172" s="15">
        <f t="shared" si="251"/>
        <v>0</v>
      </c>
      <c r="F2172" s="15">
        <f t="shared" si="251"/>
        <v>0</v>
      </c>
      <c r="G2172" s="15">
        <f t="shared" si="251"/>
        <v>0</v>
      </c>
      <c r="H2172" s="15">
        <f t="shared" si="251"/>
        <v>0</v>
      </c>
      <c r="I2172" s="15">
        <f t="shared" si="251"/>
        <v>0</v>
      </c>
      <c r="J2172" s="15">
        <f t="shared" si="251"/>
        <v>0</v>
      </c>
      <c r="K2172" s="10"/>
    </row>
    <row r="2173" spans="1:11">
      <c r="A2173" s="11" t="s">
        <v>94</v>
      </c>
      <c r="B2173" s="15">
        <f t="shared" ref="B2173:J2173" si="252">$B1319*$B917*B573/(24*$F$14)*1000</f>
        <v>156052.48197006597</v>
      </c>
      <c r="C2173" s="15">
        <f t="shared" si="252"/>
        <v>154553.31481634738</v>
      </c>
      <c r="D2173" s="15">
        <f t="shared" si="252"/>
        <v>107707.29380698697</v>
      </c>
      <c r="E2173" s="15">
        <f t="shared" si="252"/>
        <v>106364.88547132055</v>
      </c>
      <c r="F2173" s="15">
        <f t="shared" si="252"/>
        <v>105552.93978069976</v>
      </c>
      <c r="G2173" s="15">
        <f t="shared" si="252"/>
        <v>45236.97419172847</v>
      </c>
      <c r="H2173" s="15">
        <f t="shared" si="252"/>
        <v>149489.87639626974</v>
      </c>
      <c r="I2173" s="15">
        <f t="shared" si="252"/>
        <v>146665.86651321989</v>
      </c>
      <c r="J2173" s="15">
        <f t="shared" si="252"/>
        <v>143827.17232264145</v>
      </c>
      <c r="K2173" s="10"/>
    </row>
    <row r="2174" spans="1:11">
      <c r="A2174" s="11" t="s">
        <v>95</v>
      </c>
      <c r="B2174" s="15">
        <f t="shared" ref="B2174:J2174" si="253">$B1320*$B918*B574/(24*$F$14)*1000</f>
        <v>48814.308231642666</v>
      </c>
      <c r="C2174" s="15">
        <f t="shared" si="253"/>
        <v>48345.358256554086</v>
      </c>
      <c r="D2174" s="15">
        <f t="shared" si="253"/>
        <v>33691.595111565635</v>
      </c>
      <c r="E2174" s="15">
        <f t="shared" si="253"/>
        <v>33271.680391577283</v>
      </c>
      <c r="F2174" s="15">
        <f t="shared" si="253"/>
        <v>33017.698098511799</v>
      </c>
      <c r="G2174" s="15">
        <f t="shared" si="253"/>
        <v>14150.442042219343</v>
      </c>
      <c r="H2174" s="15">
        <f t="shared" si="253"/>
        <v>46761.479290777526</v>
      </c>
      <c r="I2174" s="15">
        <f t="shared" si="253"/>
        <v>45878.109240265658</v>
      </c>
      <c r="J2174" s="15">
        <f t="shared" si="253"/>
        <v>44990.14583561536</v>
      </c>
      <c r="K2174" s="10"/>
    </row>
    <row r="2175" spans="1:11">
      <c r="A2175" s="11" t="s">
        <v>130</v>
      </c>
      <c r="B2175" s="15">
        <f t="shared" ref="B2175:J2175" si="254">$B1321*$B919*B575/(24*$F$14)*1000</f>
        <v>0</v>
      </c>
      <c r="C2175" s="15">
        <f t="shared" si="254"/>
        <v>0</v>
      </c>
      <c r="D2175" s="15">
        <f t="shared" si="254"/>
        <v>0</v>
      </c>
      <c r="E2175" s="15">
        <f t="shared" si="254"/>
        <v>0</v>
      </c>
      <c r="F2175" s="15">
        <f t="shared" si="254"/>
        <v>0</v>
      </c>
      <c r="G2175" s="15">
        <f t="shared" si="254"/>
        <v>0</v>
      </c>
      <c r="H2175" s="15">
        <f t="shared" si="254"/>
        <v>0</v>
      </c>
      <c r="I2175" s="15">
        <f t="shared" si="254"/>
        <v>0</v>
      </c>
      <c r="J2175" s="15">
        <f t="shared" si="254"/>
        <v>0</v>
      </c>
      <c r="K2175" s="10"/>
    </row>
    <row r="2176" spans="1:11">
      <c r="A2176" s="11" t="s">
        <v>96</v>
      </c>
      <c r="B2176" s="15">
        <f t="shared" ref="B2176:J2176" si="255">$B1322*$B920*B576/(24*$F$14)*1000</f>
        <v>84474.048642687878</v>
      </c>
      <c r="C2176" s="15">
        <f t="shared" si="255"/>
        <v>83662.522177565479</v>
      </c>
      <c r="D2176" s="15">
        <f t="shared" si="255"/>
        <v>58303.918408481084</v>
      </c>
      <c r="E2176" s="15">
        <f t="shared" si="255"/>
        <v>57577.248344577914</v>
      </c>
      <c r="F2176" s="15">
        <f t="shared" si="255"/>
        <v>57137.72736484831</v>
      </c>
      <c r="G2176" s="15">
        <f t="shared" si="255"/>
        <v>24487.597442077844</v>
      </c>
      <c r="H2176" s="15">
        <f t="shared" si="255"/>
        <v>80921.590806291671</v>
      </c>
      <c r="I2176" s="15">
        <f t="shared" si="255"/>
        <v>79392.902859669048</v>
      </c>
      <c r="J2176" s="15">
        <f t="shared" si="255"/>
        <v>77856.266030127081</v>
      </c>
      <c r="K2176" s="10"/>
    </row>
    <row r="2177" spans="1:11">
      <c r="A2177" s="11" t="s">
        <v>97</v>
      </c>
      <c r="B2177" s="15">
        <f t="shared" ref="B2177:J2177" si="256">$B1323*$B921*B577/(24*$F$14)*1000</f>
        <v>112.8100198341611</v>
      </c>
      <c r="C2177" s="15">
        <f t="shared" si="256"/>
        <v>111.72627496698138</v>
      </c>
      <c r="D2177" s="15">
        <f t="shared" si="256"/>
        <v>77.861382255879292</v>
      </c>
      <c r="E2177" s="15">
        <f t="shared" si="256"/>
        <v>76.890958017441847</v>
      </c>
      <c r="F2177" s="15">
        <f t="shared" si="256"/>
        <v>76.304004139446121</v>
      </c>
      <c r="G2177" s="15">
        <f t="shared" si="256"/>
        <v>32.701716059762617</v>
      </c>
      <c r="H2177" s="15">
        <f t="shared" si="256"/>
        <v>108.0659256961022</v>
      </c>
      <c r="I2177" s="15">
        <f t="shared" si="256"/>
        <v>106.02445473135441</v>
      </c>
      <c r="J2177" s="15">
        <f t="shared" si="256"/>
        <v>0</v>
      </c>
      <c r="K2177" s="10"/>
    </row>
    <row r="2178" spans="1:11">
      <c r="A2178" s="11" t="s">
        <v>110</v>
      </c>
      <c r="B2178" s="15">
        <f t="shared" ref="B2178:J2178" si="257">$B1324*$B922*B578/(24*$F$14)*1000</f>
        <v>150.10178125119592</v>
      </c>
      <c r="C2178" s="15">
        <f t="shared" si="257"/>
        <v>148.65978137188858</v>
      </c>
      <c r="D2178" s="15">
        <f t="shared" si="257"/>
        <v>103.60012509942528</v>
      </c>
      <c r="E2178" s="15">
        <f t="shared" si="257"/>
        <v>102.30890640295728</v>
      </c>
      <c r="F2178" s="15">
        <f t="shared" si="257"/>
        <v>101.52792238461412</v>
      </c>
      <c r="G2178" s="15">
        <f t="shared" si="257"/>
        <v>43.511966736263183</v>
      </c>
      <c r="H2178" s="15">
        <f t="shared" si="257"/>
        <v>143.78942547293408</v>
      </c>
      <c r="I2178" s="15">
        <f t="shared" si="257"/>
        <v>0</v>
      </c>
      <c r="J2178" s="15">
        <f t="shared" si="257"/>
        <v>0</v>
      </c>
      <c r="K2178" s="10"/>
    </row>
    <row r="2179" spans="1:11">
      <c r="A2179" s="11" t="s">
        <v>1647</v>
      </c>
      <c r="B2179" s="15">
        <f t="shared" ref="B2179:J2179" si="258">$B1325*$B923*B579/(24*$F$14)*1000</f>
        <v>0</v>
      </c>
      <c r="C2179" s="15">
        <f t="shared" si="258"/>
        <v>0</v>
      </c>
      <c r="D2179" s="15">
        <f t="shared" si="258"/>
        <v>0</v>
      </c>
      <c r="E2179" s="15">
        <f t="shared" si="258"/>
        <v>0</v>
      </c>
      <c r="F2179" s="15">
        <f t="shared" si="258"/>
        <v>0</v>
      </c>
      <c r="G2179" s="15">
        <f t="shared" si="258"/>
        <v>0</v>
      </c>
      <c r="H2179" s="15">
        <f t="shared" si="258"/>
        <v>0</v>
      </c>
      <c r="I2179" s="15">
        <f t="shared" si="258"/>
        <v>0</v>
      </c>
      <c r="J2179" s="15">
        <f t="shared" si="258"/>
        <v>0</v>
      </c>
      <c r="K2179" s="10"/>
    </row>
    <row r="2180" spans="1:11">
      <c r="A2180" s="11" t="s">
        <v>1646</v>
      </c>
      <c r="B2180" s="15">
        <f t="shared" ref="B2180:J2180" si="259">$B1326*$B924*B580/(24*$F$14)*1000</f>
        <v>0</v>
      </c>
      <c r="C2180" s="15">
        <f t="shared" si="259"/>
        <v>0</v>
      </c>
      <c r="D2180" s="15">
        <f t="shared" si="259"/>
        <v>0</v>
      </c>
      <c r="E2180" s="15">
        <f t="shared" si="259"/>
        <v>0</v>
      </c>
      <c r="F2180" s="15">
        <f t="shared" si="259"/>
        <v>0</v>
      </c>
      <c r="G2180" s="15">
        <f t="shared" si="259"/>
        <v>0</v>
      </c>
      <c r="H2180" s="15">
        <f t="shared" si="259"/>
        <v>0</v>
      </c>
      <c r="I2180" s="15">
        <f t="shared" si="259"/>
        <v>0</v>
      </c>
      <c r="J2180" s="15">
        <f t="shared" si="259"/>
        <v>0</v>
      </c>
      <c r="K2180" s="10"/>
    </row>
    <row r="2181" spans="1:11">
      <c r="A2181" s="11" t="s">
        <v>98</v>
      </c>
      <c r="B2181" s="15">
        <f t="shared" ref="B2181:J2181" si="260">$B1327*$B925*B581/(24*$F$14)*1000</f>
        <v>204446.15409302773</v>
      </c>
      <c r="C2181" s="15">
        <f t="shared" si="260"/>
        <v>202482.07793703844</v>
      </c>
      <c r="D2181" s="15">
        <f t="shared" si="260"/>
        <v>141108.56622472827</v>
      </c>
      <c r="E2181" s="15">
        <f t="shared" si="260"/>
        <v>139349.86160186896</v>
      </c>
      <c r="F2181" s="15">
        <f t="shared" si="260"/>
        <v>138286.12220032798</v>
      </c>
      <c r="G2181" s="15">
        <f t="shared" si="260"/>
        <v>59265.480942997689</v>
      </c>
      <c r="H2181" s="15">
        <f t="shared" si="260"/>
        <v>195848.40894053812</v>
      </c>
      <c r="I2181" s="15">
        <f t="shared" si="260"/>
        <v>192148.64106487567</v>
      </c>
      <c r="J2181" s="15">
        <f t="shared" si="260"/>
        <v>188429.63510878134</v>
      </c>
      <c r="K2181" s="10"/>
    </row>
    <row r="2182" spans="1:11">
      <c r="A2182" s="11" t="s">
        <v>99</v>
      </c>
      <c r="B2182" s="15">
        <f t="shared" ref="B2182:J2182" si="261">$B1328*$B926*B582/(24*$F$14)*1000</f>
        <v>2694.723297583791</v>
      </c>
      <c r="C2182" s="15">
        <f t="shared" si="261"/>
        <v>2668.8355923381109</v>
      </c>
      <c r="D2182" s="15">
        <f t="shared" si="261"/>
        <v>1859.8957881173867</v>
      </c>
      <c r="E2182" s="15">
        <f t="shared" si="261"/>
        <v>1836.7150032216687</v>
      </c>
      <c r="F2182" s="15">
        <f t="shared" si="261"/>
        <v>1822.6942780062363</v>
      </c>
      <c r="G2182" s="15">
        <f t="shared" si="261"/>
        <v>781.1546905741011</v>
      </c>
      <c r="H2182" s="15">
        <f t="shared" si="261"/>
        <v>2581.3998444140152</v>
      </c>
      <c r="I2182" s="15">
        <f t="shared" si="261"/>
        <v>2532.6346781802545</v>
      </c>
      <c r="J2182" s="15">
        <f t="shared" si="261"/>
        <v>0</v>
      </c>
      <c r="K2182" s="10"/>
    </row>
    <row r="2183" spans="1:11">
      <c r="A2183" s="11" t="s">
        <v>111</v>
      </c>
      <c r="B2183" s="15">
        <f t="shared" ref="B2183:J2183" si="262">$B1329*$B927*B583/(24*$F$14)*1000</f>
        <v>293596.48509718565</v>
      </c>
      <c r="C2183" s="15">
        <f t="shared" si="262"/>
        <v>290775.95830165956</v>
      </c>
      <c r="D2183" s="15">
        <f t="shared" si="262"/>
        <v>202640.05084601653</v>
      </c>
      <c r="E2183" s="15">
        <f t="shared" si="262"/>
        <v>200114.44943333007</v>
      </c>
      <c r="F2183" s="15">
        <f t="shared" si="262"/>
        <v>198586.85821628175</v>
      </c>
      <c r="G2183" s="15">
        <f t="shared" si="262"/>
        <v>85108.653521263608</v>
      </c>
      <c r="H2183" s="15">
        <f t="shared" si="262"/>
        <v>281249.6264940949</v>
      </c>
      <c r="I2183" s="15">
        <f t="shared" si="262"/>
        <v>0</v>
      </c>
      <c r="J2183" s="15">
        <f t="shared" si="262"/>
        <v>0</v>
      </c>
      <c r="K2183" s="10"/>
    </row>
    <row r="2184" spans="1:11">
      <c r="A2184" s="11" t="s">
        <v>131</v>
      </c>
      <c r="B2184" s="15">
        <f t="shared" ref="B2184:J2184" si="263">$B1330*$B928*B584/(24*$F$14)*1000</f>
        <v>949.71709758097643</v>
      </c>
      <c r="C2184" s="15">
        <f t="shared" si="263"/>
        <v>940.593342162005</v>
      </c>
      <c r="D2184" s="15">
        <f t="shared" si="263"/>
        <v>655.49395415764491</v>
      </c>
      <c r="E2184" s="15">
        <f t="shared" si="263"/>
        <v>647.32421451478444</v>
      </c>
      <c r="F2184" s="15">
        <f t="shared" si="263"/>
        <v>642.38280829711425</v>
      </c>
      <c r="G2184" s="15">
        <f t="shared" si="263"/>
        <v>275.3069178416203</v>
      </c>
      <c r="H2184" s="15">
        <f t="shared" si="263"/>
        <v>909.77784996740729</v>
      </c>
      <c r="I2184" s="15">
        <f t="shared" si="263"/>
        <v>892.5912571249778</v>
      </c>
      <c r="J2184" s="15">
        <f t="shared" si="263"/>
        <v>875.31529730965576</v>
      </c>
      <c r="K2184" s="10"/>
    </row>
    <row r="2185" spans="1:11">
      <c r="A2185" s="11" t="s">
        <v>132</v>
      </c>
      <c r="B2185" s="15">
        <f t="shared" ref="B2185:J2185" si="264">$B1331*$B929*B585/(24*$F$14)*1000</f>
        <v>1569.8707204996522</v>
      </c>
      <c r="C2185" s="15">
        <f t="shared" si="264"/>
        <v>1554.7892646327148</v>
      </c>
      <c r="D2185" s="15">
        <f t="shared" si="264"/>
        <v>1083.5234710606946</v>
      </c>
      <c r="E2185" s="15">
        <f t="shared" si="264"/>
        <v>1070.0189915771732</v>
      </c>
      <c r="F2185" s="15">
        <f t="shared" si="264"/>
        <v>1061.8509076720036</v>
      </c>
      <c r="G2185" s="15">
        <f t="shared" si="264"/>
        <v>455.07896043085867</v>
      </c>
      <c r="H2185" s="15">
        <f t="shared" si="264"/>
        <v>1503.8516337768485</v>
      </c>
      <c r="I2185" s="15">
        <f t="shared" si="264"/>
        <v>1475.4424064846357</v>
      </c>
      <c r="J2185" s="15">
        <f t="shared" si="264"/>
        <v>1446.8854566817074</v>
      </c>
      <c r="K2185" s="10"/>
    </row>
    <row r="2186" spans="1:11">
      <c r="A2186" s="11" t="s">
        <v>133</v>
      </c>
      <c r="B2186" s="15">
        <f t="shared" ref="B2186:J2186" si="265">$B1332*$B930*B586/(24*$F$14)*1000</f>
        <v>142.97027980901208</v>
      </c>
      <c r="C2186" s="15">
        <f t="shared" si="265"/>
        <v>141.59679093692392</v>
      </c>
      <c r="D2186" s="15">
        <f t="shared" si="265"/>
        <v>98.677968710617691</v>
      </c>
      <c r="E2186" s="15">
        <f t="shared" si="265"/>
        <v>97.448097240806703</v>
      </c>
      <c r="F2186" s="15">
        <f t="shared" si="265"/>
        <v>96.704218635915026</v>
      </c>
      <c r="G2186" s="15">
        <f t="shared" si="265"/>
        <v>41.444665129677865</v>
      </c>
      <c r="H2186" s="15">
        <f t="shared" si="265"/>
        <v>136.95783102692988</v>
      </c>
      <c r="I2186" s="15">
        <f t="shared" si="265"/>
        <v>134.37056373027451</v>
      </c>
      <c r="J2186" s="15">
        <f t="shared" si="265"/>
        <v>131.76984314194661</v>
      </c>
      <c r="K2186" s="10"/>
    </row>
    <row r="2187" spans="1:11">
      <c r="A2187" s="11" t="s">
        <v>134</v>
      </c>
      <c r="B2187" s="15">
        <f t="shared" ref="B2187:J2187" si="266">$B1333*$B931*B587/(24*$F$14)*1000</f>
        <v>0</v>
      </c>
      <c r="C2187" s="15">
        <f t="shared" si="266"/>
        <v>0</v>
      </c>
      <c r="D2187" s="15">
        <f t="shared" si="266"/>
        <v>0</v>
      </c>
      <c r="E2187" s="15">
        <f t="shared" si="266"/>
        <v>0</v>
      </c>
      <c r="F2187" s="15">
        <f t="shared" si="266"/>
        <v>0</v>
      </c>
      <c r="G2187" s="15">
        <f t="shared" si="266"/>
        <v>0</v>
      </c>
      <c r="H2187" s="15">
        <f t="shared" si="266"/>
        <v>0</v>
      </c>
      <c r="I2187" s="15">
        <f t="shared" si="266"/>
        <v>0</v>
      </c>
      <c r="J2187" s="15">
        <f t="shared" si="266"/>
        <v>0</v>
      </c>
      <c r="K2187" s="10"/>
    </row>
    <row r="2188" spans="1:11">
      <c r="A2188" s="11" t="s">
        <v>135</v>
      </c>
      <c r="B2188" s="15">
        <f t="shared" ref="B2188:J2188" si="267">$B1334*$B932*B588/(24*$F$14)*1000</f>
        <v>36867.839548793141</v>
      </c>
      <c r="C2188" s="15">
        <f t="shared" si="267"/>
        <v>36513.657075164047</v>
      </c>
      <c r="D2188" s="15">
        <f t="shared" si="267"/>
        <v>25446.15232119424</v>
      </c>
      <c r="E2188" s="15">
        <f t="shared" si="267"/>
        <v>25129.004561007987</v>
      </c>
      <c r="F2188" s="15">
        <f t="shared" si="267"/>
        <v>24937.180098710211</v>
      </c>
      <c r="G2188" s="15">
        <f t="shared" si="267"/>
        <v>10687.362899447233</v>
      </c>
      <c r="H2188" s="15">
        <f t="shared" si="267"/>
        <v>35317.405449557569</v>
      </c>
      <c r="I2188" s="15">
        <f t="shared" si="267"/>
        <v>34650.225139843176</v>
      </c>
      <c r="J2188" s="15">
        <f t="shared" si="267"/>
        <v>33979.575621007505</v>
      </c>
      <c r="K2188" s="10"/>
    </row>
    <row r="2189" spans="1:11">
      <c r="A2189" s="11" t="s">
        <v>1645</v>
      </c>
      <c r="B2189" s="15">
        <f t="shared" ref="B2189:J2189" si="268">$B1335*$B933*B589/(24*$F$14)*1000</f>
        <v>-74.395807571909216</v>
      </c>
      <c r="C2189" s="15">
        <f t="shared" si="268"/>
        <v>-73.681100893244732</v>
      </c>
      <c r="D2189" s="15">
        <f t="shared" si="268"/>
        <v>-51.347924768622015</v>
      </c>
      <c r="E2189" s="15">
        <f t="shared" si="268"/>
        <v>-50.707950633239001</v>
      </c>
      <c r="F2189" s="15">
        <f t="shared" si="268"/>
        <v>-50.32086704061885</v>
      </c>
      <c r="G2189" s="15">
        <f t="shared" si="268"/>
        <v>-21.566085874550932</v>
      </c>
      <c r="H2189" s="15">
        <f t="shared" si="268"/>
        <v>-71.267178438460789</v>
      </c>
      <c r="I2189" s="15">
        <f t="shared" si="268"/>
        <v>-69.920871778110154</v>
      </c>
      <c r="J2189" s="15">
        <f t="shared" si="268"/>
        <v>0</v>
      </c>
      <c r="K2189" s="10"/>
    </row>
    <row r="2190" spans="1:11">
      <c r="A2190" s="11" t="s">
        <v>100</v>
      </c>
      <c r="B2190" s="15">
        <f t="shared" ref="B2190:J2190" si="269">$B1336*$B934*B590/(24*$F$14)*1000</f>
        <v>0</v>
      </c>
      <c r="C2190" s="15">
        <f t="shared" si="269"/>
        <v>0</v>
      </c>
      <c r="D2190" s="15">
        <f t="shared" si="269"/>
        <v>0</v>
      </c>
      <c r="E2190" s="15">
        <f t="shared" si="269"/>
        <v>0</v>
      </c>
      <c r="F2190" s="15">
        <f t="shared" si="269"/>
        <v>0</v>
      </c>
      <c r="G2190" s="15">
        <f t="shared" si="269"/>
        <v>0</v>
      </c>
      <c r="H2190" s="15">
        <f t="shared" si="269"/>
        <v>0</v>
      </c>
      <c r="I2190" s="15">
        <f t="shared" si="269"/>
        <v>0</v>
      </c>
      <c r="J2190" s="15">
        <f t="shared" si="269"/>
        <v>0</v>
      </c>
      <c r="K2190" s="10"/>
    </row>
    <row r="2191" spans="1:11">
      <c r="A2191" s="11" t="s">
        <v>101</v>
      </c>
      <c r="B2191" s="15">
        <f t="shared" ref="B2191:J2191" si="270">$B1337*$B935*B591/(24*$F$14)*1000</f>
        <v>-1177.1398296990519</v>
      </c>
      <c r="C2191" s="15">
        <f t="shared" si="270"/>
        <v>-1165.8312664148277</v>
      </c>
      <c r="D2191" s="15">
        <f t="shared" si="270"/>
        <v>-812.46093550516287</v>
      </c>
      <c r="E2191" s="15">
        <f t="shared" si="270"/>
        <v>-802.3348401064618</v>
      </c>
      <c r="F2191" s="15">
        <f t="shared" si="270"/>
        <v>-796.21014667053453</v>
      </c>
      <c r="G2191" s="15">
        <f t="shared" si="270"/>
        <v>-341.23292000165759</v>
      </c>
      <c r="H2191" s="15">
        <f t="shared" si="270"/>
        <v>-1127.6365836756893</v>
      </c>
      <c r="I2191" s="15">
        <f t="shared" si="270"/>
        <v>-1106.334426408883</v>
      </c>
      <c r="J2191" s="15">
        <f t="shared" si="270"/>
        <v>0</v>
      </c>
      <c r="K2191" s="10"/>
    </row>
    <row r="2192" spans="1:11">
      <c r="A2192" s="11" t="s">
        <v>102</v>
      </c>
      <c r="B2192" s="15">
        <f t="shared" ref="B2192:J2192" si="271">$B1338*$B936*B592/(24*$F$14)*1000</f>
        <v>-234.10479473365706</v>
      </c>
      <c r="C2192" s="15">
        <f t="shared" si="271"/>
        <v>-231.85579353635441</v>
      </c>
      <c r="D2192" s="15">
        <f t="shared" si="271"/>
        <v>-161.57893543044759</v>
      </c>
      <c r="E2192" s="15">
        <f t="shared" si="271"/>
        <v>-159.5650986500097</v>
      </c>
      <c r="F2192" s="15">
        <f t="shared" si="271"/>
        <v>-158.34704446184168</v>
      </c>
      <c r="G2192" s="15">
        <f t="shared" si="271"/>
        <v>-67.863019055074986</v>
      </c>
      <c r="H2192" s="15">
        <f t="shared" si="271"/>
        <v>-224.259789954648</v>
      </c>
      <c r="I2192" s="15">
        <f t="shared" si="271"/>
        <v>-220.02330332110623</v>
      </c>
      <c r="J2192" s="15">
        <f t="shared" si="271"/>
        <v>0</v>
      </c>
      <c r="K2192" s="10"/>
    </row>
    <row r="2193" spans="1:11">
      <c r="A2193" s="11" t="s">
        <v>103</v>
      </c>
      <c r="B2193" s="15">
        <f t="shared" ref="B2193:J2193" si="272">$B1339*$B937*B593/(24*$F$14)*1000</f>
        <v>-4.5630628415300549</v>
      </c>
      <c r="C2193" s="15">
        <f t="shared" si="272"/>
        <v>-4.5192263459741069</v>
      </c>
      <c r="D2193" s="15">
        <f t="shared" si="272"/>
        <v>-3.1494221939174114</v>
      </c>
      <c r="E2193" s="15">
        <f t="shared" si="272"/>
        <v>-3.11016941486956</v>
      </c>
      <c r="F2193" s="15">
        <f t="shared" si="272"/>
        <v>-3.0864276636110142</v>
      </c>
      <c r="G2193" s="15">
        <f t="shared" si="272"/>
        <v>-1.3227547129761488</v>
      </c>
      <c r="H2193" s="15">
        <f t="shared" si="272"/>
        <v>-4.3711685425137032</v>
      </c>
      <c r="I2193" s="15">
        <f t="shared" si="272"/>
        <v>0</v>
      </c>
      <c r="J2193" s="15">
        <f t="shared" si="272"/>
        <v>0</v>
      </c>
      <c r="K2193" s="10"/>
    </row>
    <row r="2194" spans="1:11">
      <c r="A2194" s="11" t="s">
        <v>104</v>
      </c>
      <c r="B2194" s="15">
        <f t="shared" ref="B2194:J2194" si="273">$B1340*$B938*B594/(24*$F$14)*1000</f>
        <v>0</v>
      </c>
      <c r="C2194" s="15">
        <f t="shared" si="273"/>
        <v>0</v>
      </c>
      <c r="D2194" s="15">
        <f t="shared" si="273"/>
        <v>0</v>
      </c>
      <c r="E2194" s="15">
        <f t="shared" si="273"/>
        <v>0</v>
      </c>
      <c r="F2194" s="15">
        <f t="shared" si="273"/>
        <v>0</v>
      </c>
      <c r="G2194" s="15">
        <f t="shared" si="273"/>
        <v>0</v>
      </c>
      <c r="H2194" s="15">
        <f t="shared" si="273"/>
        <v>0</v>
      </c>
      <c r="I2194" s="15">
        <f t="shared" si="273"/>
        <v>0</v>
      </c>
      <c r="J2194" s="15">
        <f t="shared" si="273"/>
        <v>0</v>
      </c>
      <c r="K2194" s="10"/>
    </row>
    <row r="2195" spans="1:11">
      <c r="A2195" s="11" t="s">
        <v>112</v>
      </c>
      <c r="B2195" s="15">
        <f t="shared" ref="B2195:J2195" si="274">$B1341*$B939*B595/(24*$F$14)*1000</f>
        <v>-5297.660501646279</v>
      </c>
      <c r="C2195" s="15">
        <f t="shared" si="274"/>
        <v>-5246.7668630744565</v>
      </c>
      <c r="D2195" s="15">
        <f t="shared" si="274"/>
        <v>-3656.4408905071923</v>
      </c>
      <c r="E2195" s="15">
        <f t="shared" si="274"/>
        <v>-3610.8688910928872</v>
      </c>
      <c r="F2195" s="15">
        <f t="shared" si="274"/>
        <v>-3583.305006428056</v>
      </c>
      <c r="G2195" s="15">
        <f t="shared" si="274"/>
        <v>-1535.7021456120237</v>
      </c>
      <c r="H2195" s="15">
        <f t="shared" si="274"/>
        <v>0</v>
      </c>
      <c r="I2195" s="15">
        <f t="shared" si="274"/>
        <v>0</v>
      </c>
      <c r="J2195" s="15">
        <f t="shared" si="274"/>
        <v>0</v>
      </c>
      <c r="K2195" s="10"/>
    </row>
    <row r="2196" spans="1:11">
      <c r="A2196" s="11" t="s">
        <v>113</v>
      </c>
      <c r="B2196" s="15">
        <f t="shared" ref="B2196:J2196" si="275">$B1342*$B940*B596/(24*$F$14)*1000</f>
        <v>-12046.377608372852</v>
      </c>
      <c r="C2196" s="15">
        <f t="shared" si="275"/>
        <v>-11930.650300458405</v>
      </c>
      <c r="D2196" s="15">
        <f t="shared" si="275"/>
        <v>-8314.399848019124</v>
      </c>
      <c r="E2196" s="15">
        <f t="shared" si="275"/>
        <v>-8210.7734429026259</v>
      </c>
      <c r="F2196" s="15">
        <f t="shared" si="275"/>
        <v>-8148.0957830331381</v>
      </c>
      <c r="G2196" s="15">
        <f t="shared" si="275"/>
        <v>-3492.0410498713454</v>
      </c>
      <c r="H2196" s="15">
        <f t="shared" si="275"/>
        <v>0</v>
      </c>
      <c r="I2196" s="15">
        <f t="shared" si="275"/>
        <v>0</v>
      </c>
      <c r="J2196" s="15">
        <f t="shared" si="275"/>
        <v>0</v>
      </c>
      <c r="K2196" s="10"/>
    </row>
    <row r="2198" spans="1:11" ht="21" customHeight="1">
      <c r="A2198" s="1" t="s">
        <v>559</v>
      </c>
    </row>
    <row r="2199" spans="1:11">
      <c r="A2199" s="2" t="s">
        <v>255</v>
      </c>
    </row>
    <row r="2200" spans="1:11">
      <c r="A2200" s="12" t="s">
        <v>560</v>
      </c>
    </row>
    <row r="2201" spans="1:11">
      <c r="A2201" s="12" t="s">
        <v>561</v>
      </c>
    </row>
    <row r="2202" spans="1:11">
      <c r="A2202" s="12" t="s">
        <v>562</v>
      </c>
    </row>
    <row r="2203" spans="1:11">
      <c r="A2203" s="12" t="s">
        <v>563</v>
      </c>
    </row>
    <row r="2204" spans="1:11">
      <c r="A2204" s="2" t="s">
        <v>564</v>
      </c>
    </row>
    <row r="2206" spans="1:11">
      <c r="B2206" s="3" t="s">
        <v>60</v>
      </c>
      <c r="C2206" s="3" t="s">
        <v>61</v>
      </c>
      <c r="D2206" s="3" t="s">
        <v>62</v>
      </c>
      <c r="E2206" s="3" t="s">
        <v>63</v>
      </c>
      <c r="F2206" s="3" t="s">
        <v>64</v>
      </c>
      <c r="G2206" s="3" t="s">
        <v>69</v>
      </c>
      <c r="H2206" s="3" t="s">
        <v>65</v>
      </c>
      <c r="I2206" s="3" t="s">
        <v>66</v>
      </c>
      <c r="J2206" s="3" t="s">
        <v>67</v>
      </c>
    </row>
    <row r="2207" spans="1:11">
      <c r="A2207" s="11" t="s">
        <v>92</v>
      </c>
      <c r="B2207" s="28">
        <f t="shared" ref="B2207:J2207" si="276">B$2112</f>
        <v>781973.44148305943</v>
      </c>
      <c r="C2207" s="28">
        <f t="shared" si="276"/>
        <v>774461.16815198516</v>
      </c>
      <c r="D2207" s="28">
        <f t="shared" si="276"/>
        <v>539717.42165070167</v>
      </c>
      <c r="E2207" s="28">
        <f t="shared" si="276"/>
        <v>532990.66118611651</v>
      </c>
      <c r="F2207" s="28">
        <f t="shared" si="276"/>
        <v>528922.03018469573</v>
      </c>
      <c r="G2207" s="28">
        <f t="shared" si="276"/>
        <v>226680.87007915528</v>
      </c>
      <c r="H2207" s="28">
        <f t="shared" si="276"/>
        <v>749088.45816942188</v>
      </c>
      <c r="I2207" s="28">
        <f t="shared" si="276"/>
        <v>734937.44500287541</v>
      </c>
      <c r="J2207" s="28">
        <f t="shared" si="276"/>
        <v>720712.84929314244</v>
      </c>
      <c r="K2207" s="10"/>
    </row>
    <row r="2208" spans="1:11">
      <c r="A2208" s="11" t="s">
        <v>93</v>
      </c>
      <c r="B2208" s="28">
        <f t="shared" ref="B2208:J2208" si="277">B$2132</f>
        <v>47837.096409040743</v>
      </c>
      <c r="C2208" s="28">
        <f t="shared" si="277"/>
        <v>49681.94460392397</v>
      </c>
      <c r="D2208" s="28">
        <f t="shared" si="277"/>
        <v>34623.054256169809</v>
      </c>
      <c r="E2208" s="28">
        <f t="shared" si="277"/>
        <v>33379.186161832062</v>
      </c>
      <c r="F2208" s="28">
        <f t="shared" si="277"/>
        <v>33124.383214031812</v>
      </c>
      <c r="G2208" s="28">
        <f t="shared" si="277"/>
        <v>14541.654111483822</v>
      </c>
      <c r="H2208" s="28">
        <f t="shared" si="277"/>
        <v>46912.572616700447</v>
      </c>
      <c r="I2208" s="28">
        <f t="shared" si="277"/>
        <v>46026.348265576686</v>
      </c>
      <c r="J2208" s="28">
        <f t="shared" si="277"/>
        <v>45135.51571850101</v>
      </c>
      <c r="K2208" s="10"/>
    </row>
    <row r="2209" spans="1:11">
      <c r="A2209" s="11" t="s">
        <v>129</v>
      </c>
      <c r="B2209" s="28">
        <f t="shared" ref="B2209:J2209" si="278">B$2113</f>
        <v>69.016522106620442</v>
      </c>
      <c r="C2209" s="28">
        <f t="shared" si="278"/>
        <v>108.63108536946417</v>
      </c>
      <c r="D2209" s="28">
        <f t="shared" si="278"/>
        <v>75.704362875452148</v>
      </c>
      <c r="E2209" s="28">
        <f t="shared" si="278"/>
        <v>72.983591379051276</v>
      </c>
      <c r="F2209" s="28">
        <f t="shared" si="278"/>
        <v>72.426464727302786</v>
      </c>
      <c r="G2209" s="28">
        <f t="shared" si="278"/>
        <v>31.795769706507286</v>
      </c>
      <c r="H2209" s="28">
        <f t="shared" si="278"/>
        <v>102.5743412016554</v>
      </c>
      <c r="I2209" s="28">
        <f t="shared" si="278"/>
        <v>100.63661163572185</v>
      </c>
      <c r="J2209" s="28">
        <f t="shared" si="278"/>
        <v>98.688806249224029</v>
      </c>
      <c r="K2209" s="10"/>
    </row>
    <row r="2210" spans="1:11">
      <c r="A2210" s="11" t="s">
        <v>94</v>
      </c>
      <c r="B2210" s="28">
        <f t="shared" ref="B2210:J2210" si="279">B$2114</f>
        <v>156052.48197006597</v>
      </c>
      <c r="C2210" s="28">
        <f t="shared" si="279"/>
        <v>154553.31481634738</v>
      </c>
      <c r="D2210" s="28">
        <f t="shared" si="279"/>
        <v>107707.29380698697</v>
      </c>
      <c r="E2210" s="28">
        <f t="shared" si="279"/>
        <v>106364.88547132055</v>
      </c>
      <c r="F2210" s="28">
        <f t="shared" si="279"/>
        <v>105552.93978069976</v>
      </c>
      <c r="G2210" s="28">
        <f t="shared" si="279"/>
        <v>45236.97419172847</v>
      </c>
      <c r="H2210" s="28">
        <f t="shared" si="279"/>
        <v>149489.87639626974</v>
      </c>
      <c r="I2210" s="28">
        <f t="shared" si="279"/>
        <v>146665.86651321989</v>
      </c>
      <c r="J2210" s="28">
        <f t="shared" si="279"/>
        <v>143827.17232264145</v>
      </c>
      <c r="K2210" s="10"/>
    </row>
    <row r="2211" spans="1:11">
      <c r="A2211" s="11" t="s">
        <v>95</v>
      </c>
      <c r="B2211" s="28">
        <f t="shared" ref="B2211:J2211" si="280">B$2133</f>
        <v>52578.238952371117</v>
      </c>
      <c r="C2211" s="28">
        <f t="shared" si="280"/>
        <v>51530.886471774662</v>
      </c>
      <c r="D2211" s="28">
        <f t="shared" si="280"/>
        <v>35911.570942009086</v>
      </c>
      <c r="E2211" s="28">
        <f t="shared" si="280"/>
        <v>35931.715285532278</v>
      </c>
      <c r="F2211" s="28">
        <f t="shared" si="280"/>
        <v>35657.427382589274</v>
      </c>
      <c r="G2211" s="28">
        <f t="shared" si="280"/>
        <v>15082.830052338642</v>
      </c>
      <c r="H2211" s="28">
        <f t="shared" si="280"/>
        <v>50500.009029657529</v>
      </c>
      <c r="I2211" s="28">
        <f t="shared" si="280"/>
        <v>49546.014498176206</v>
      </c>
      <c r="J2211" s="28">
        <f t="shared" si="280"/>
        <v>48587.059378856669</v>
      </c>
      <c r="K2211" s="10"/>
    </row>
    <row r="2212" spans="1:11">
      <c r="A2212" s="11" t="s">
        <v>130</v>
      </c>
      <c r="B2212" s="28">
        <f t="shared" ref="B2212:J2212" si="281">B$2115</f>
        <v>45.399682985920634</v>
      </c>
      <c r="C2212" s="28">
        <f t="shared" si="281"/>
        <v>69.512110478059597</v>
      </c>
      <c r="D2212" s="28">
        <f t="shared" si="281"/>
        <v>48.442579929784799</v>
      </c>
      <c r="E2212" s="28">
        <f t="shared" si="281"/>
        <v>47.039325227937908</v>
      </c>
      <c r="F2212" s="28">
        <f t="shared" si="281"/>
        <v>46.680246409404027</v>
      </c>
      <c r="G2212" s="28">
        <f t="shared" si="281"/>
        <v>20.345843448554479</v>
      </c>
      <c r="H2212" s="28">
        <f t="shared" si="281"/>
        <v>66.111131346861669</v>
      </c>
      <c r="I2212" s="28">
        <f t="shared" si="281"/>
        <v>64.862227455816623</v>
      </c>
      <c r="J2212" s="28">
        <f t="shared" si="281"/>
        <v>63.60682950505889</v>
      </c>
      <c r="K2212" s="10"/>
    </row>
    <row r="2213" spans="1:11">
      <c r="A2213" s="11" t="s">
        <v>96</v>
      </c>
      <c r="B2213" s="28">
        <f t="shared" ref="B2213:J2213" si="282">B$2134</f>
        <v>88580.832911257254</v>
      </c>
      <c r="C2213" s="28">
        <f t="shared" si="282"/>
        <v>85519.258147551285</v>
      </c>
      <c r="D2213" s="28">
        <f t="shared" si="282"/>
        <v>59597.866758142161</v>
      </c>
      <c r="E2213" s="28">
        <f t="shared" si="282"/>
        <v>59699.168237598358</v>
      </c>
      <c r="F2213" s="28">
        <f t="shared" si="282"/>
        <v>59243.449396089964</v>
      </c>
      <c r="G2213" s="28">
        <f t="shared" si="282"/>
        <v>25031.054677239117</v>
      </c>
      <c r="H2213" s="28">
        <f t="shared" si="282"/>
        <v>83903.830115108882</v>
      </c>
      <c r="I2213" s="28">
        <f t="shared" si="282"/>
        <v>82318.804752971962</v>
      </c>
      <c r="J2213" s="28">
        <f t="shared" si="282"/>
        <v>80725.537564204758</v>
      </c>
      <c r="K2213" s="10"/>
    </row>
    <row r="2214" spans="1:11">
      <c r="A2214" s="11" t="s">
        <v>97</v>
      </c>
      <c r="B2214" s="28">
        <f t="shared" ref="B2214:J2214" si="283">B$2135</f>
        <v>119.61661860833138</v>
      </c>
      <c r="C2214" s="28">
        <f t="shared" si="283"/>
        <v>115.3971651444102</v>
      </c>
      <c r="D2214" s="28">
        <f t="shared" si="283"/>
        <v>80.419603975959063</v>
      </c>
      <c r="E2214" s="28">
        <f t="shared" si="283"/>
        <v>80.693944968904958</v>
      </c>
      <c r="F2214" s="28">
        <f t="shared" si="283"/>
        <v>80.077960656165232</v>
      </c>
      <c r="G2214" s="28">
        <f t="shared" si="283"/>
        <v>33.77616706338128</v>
      </c>
      <c r="H2214" s="28">
        <f t="shared" si="283"/>
        <v>113.41081039927931</v>
      </c>
      <c r="I2214" s="28">
        <f t="shared" si="283"/>
        <v>111.26836933816513</v>
      </c>
      <c r="J2214" s="28">
        <f t="shared" si="283"/>
        <v>0</v>
      </c>
      <c r="K2214" s="10"/>
    </row>
    <row r="2215" spans="1:11">
      <c r="A2215" s="11" t="s">
        <v>110</v>
      </c>
      <c r="B2215" s="28">
        <f t="shared" ref="B2215:J2215" si="284">B$2136</f>
        <v>161.87127648972003</v>
      </c>
      <c r="C2215" s="28">
        <f t="shared" si="284"/>
        <v>154.54669748022869</v>
      </c>
      <c r="D2215" s="28">
        <f t="shared" si="284"/>
        <v>107.70268222446344</v>
      </c>
      <c r="E2215" s="28">
        <f t="shared" si="284"/>
        <v>108.66276808080799</v>
      </c>
      <c r="F2215" s="28">
        <f t="shared" si="284"/>
        <v>107.83328130156519</v>
      </c>
      <c r="G2215" s="28">
        <f t="shared" si="284"/>
        <v>45.235037330888076</v>
      </c>
      <c r="H2215" s="28">
        <f t="shared" si="284"/>
        <v>152.71942142650474</v>
      </c>
      <c r="I2215" s="28">
        <f t="shared" si="284"/>
        <v>0</v>
      </c>
      <c r="J2215" s="28">
        <f t="shared" si="284"/>
        <v>0</v>
      </c>
      <c r="K2215" s="10"/>
    </row>
    <row r="2216" spans="1:11">
      <c r="A2216" s="11" t="s">
        <v>1647</v>
      </c>
      <c r="B2216" s="28">
        <f t="shared" ref="B2216:J2216" si="285">B$2151</f>
        <v>0</v>
      </c>
      <c r="C2216" s="28">
        <f t="shared" si="285"/>
        <v>0</v>
      </c>
      <c r="D2216" s="28">
        <f t="shared" si="285"/>
        <v>0</v>
      </c>
      <c r="E2216" s="28">
        <f t="shared" si="285"/>
        <v>0</v>
      </c>
      <c r="F2216" s="28">
        <f t="shared" si="285"/>
        <v>0</v>
      </c>
      <c r="G2216" s="28">
        <f t="shared" si="285"/>
        <v>0</v>
      </c>
      <c r="H2216" s="28">
        <f t="shared" si="285"/>
        <v>0</v>
      </c>
      <c r="I2216" s="28">
        <f t="shared" si="285"/>
        <v>0</v>
      </c>
      <c r="J2216" s="28">
        <f t="shared" si="285"/>
        <v>0</v>
      </c>
      <c r="K2216" s="10"/>
    </row>
    <row r="2217" spans="1:11">
      <c r="A2217" s="11" t="s">
        <v>1646</v>
      </c>
      <c r="B2217" s="28">
        <f t="shared" ref="B2217:J2217" si="286">B$2152</f>
        <v>0</v>
      </c>
      <c r="C2217" s="28">
        <f t="shared" si="286"/>
        <v>0</v>
      </c>
      <c r="D2217" s="28">
        <f t="shared" si="286"/>
        <v>0</v>
      </c>
      <c r="E2217" s="28">
        <f t="shared" si="286"/>
        <v>0</v>
      </c>
      <c r="F2217" s="28">
        <f t="shared" si="286"/>
        <v>0</v>
      </c>
      <c r="G2217" s="28">
        <f t="shared" si="286"/>
        <v>0</v>
      </c>
      <c r="H2217" s="28">
        <f t="shared" si="286"/>
        <v>0</v>
      </c>
      <c r="I2217" s="28">
        <f t="shared" si="286"/>
        <v>0</v>
      </c>
      <c r="J2217" s="28">
        <f t="shared" si="286"/>
        <v>0</v>
      </c>
      <c r="K2217" s="10"/>
    </row>
    <row r="2218" spans="1:11">
      <c r="A2218" s="11" t="s">
        <v>98</v>
      </c>
      <c r="B2218" s="28">
        <f t="shared" ref="B2218:J2218" si="287">B$2153</f>
        <v>211540.41066854115</v>
      </c>
      <c r="C2218" s="28">
        <f t="shared" si="287"/>
        <v>204094.22006907917</v>
      </c>
      <c r="D2218" s="28">
        <f t="shared" si="287"/>
        <v>142232.05857091746</v>
      </c>
      <c r="E2218" s="28">
        <f t="shared" si="287"/>
        <v>142246.37062735663</v>
      </c>
      <c r="F2218" s="28">
        <f t="shared" si="287"/>
        <v>141160.52046989586</v>
      </c>
      <c r="G2218" s="28">
        <f t="shared" si="287"/>
        <v>59737.34679787881</v>
      </c>
      <c r="H2218" s="28">
        <f t="shared" si="287"/>
        <v>199919.2897982774</v>
      </c>
      <c r="I2218" s="28">
        <f t="shared" si="287"/>
        <v>196142.61900415577</v>
      </c>
      <c r="J2218" s="28">
        <f t="shared" si="287"/>
        <v>192346.31024923665</v>
      </c>
      <c r="K2218" s="10"/>
    </row>
    <row r="2219" spans="1:11">
      <c r="A2219" s="11" t="s">
        <v>99</v>
      </c>
      <c r="B2219" s="28">
        <f t="shared" ref="B2219:J2219" si="288">B$2154</f>
        <v>2670.3976577530843</v>
      </c>
      <c r="C2219" s="28">
        <f t="shared" si="288"/>
        <v>2579.8589606206933</v>
      </c>
      <c r="D2219" s="28">
        <f t="shared" si="288"/>
        <v>1797.8884981040228</v>
      </c>
      <c r="E2219" s="28">
        <f t="shared" si="288"/>
        <v>1786.5568492701209</v>
      </c>
      <c r="F2219" s="28">
        <f t="shared" si="288"/>
        <v>1772.9190107260742</v>
      </c>
      <c r="G2219" s="28">
        <f t="shared" si="288"/>
        <v>755.11168012524331</v>
      </c>
      <c r="H2219" s="28">
        <f t="shared" si="288"/>
        <v>2510.9053743522418</v>
      </c>
      <c r="I2219" s="28">
        <f t="shared" si="288"/>
        <v>2463.4719175623172</v>
      </c>
      <c r="J2219" s="28">
        <f t="shared" si="288"/>
        <v>0</v>
      </c>
      <c r="K2219" s="10"/>
    </row>
    <row r="2220" spans="1:11">
      <c r="A2220" s="11" t="s">
        <v>111</v>
      </c>
      <c r="B2220" s="28">
        <f t="shared" ref="B2220:J2220" si="289">B$2155</f>
        <v>298593.83625810297</v>
      </c>
      <c r="C2220" s="28">
        <f t="shared" si="289"/>
        <v>291826.56725758046</v>
      </c>
      <c r="D2220" s="28">
        <f t="shared" si="289"/>
        <v>203372.21403272066</v>
      </c>
      <c r="E2220" s="28">
        <f t="shared" si="289"/>
        <v>202113.83093011539</v>
      </c>
      <c r="F2220" s="28">
        <f t="shared" si="289"/>
        <v>200570.97725889314</v>
      </c>
      <c r="G2220" s="28">
        <f t="shared" si="289"/>
        <v>85416.161453274413</v>
      </c>
      <c r="H2220" s="28">
        <f t="shared" si="289"/>
        <v>284059.64496493712</v>
      </c>
      <c r="I2220" s="28">
        <f t="shared" si="289"/>
        <v>0</v>
      </c>
      <c r="J2220" s="28">
        <f t="shared" si="289"/>
        <v>0</v>
      </c>
      <c r="K2220" s="10"/>
    </row>
    <row r="2221" spans="1:11">
      <c r="A2221" s="11" t="s">
        <v>131</v>
      </c>
      <c r="B2221" s="28">
        <f t="shared" ref="B2221:J2221" si="290">B$2116</f>
        <v>989.61481091467203</v>
      </c>
      <c r="C2221" s="28">
        <f t="shared" si="290"/>
        <v>984.06311813269315</v>
      </c>
      <c r="D2221" s="28">
        <f t="shared" si="290"/>
        <v>685.78778472195449</v>
      </c>
      <c r="E2221" s="28">
        <f t="shared" si="290"/>
        <v>676.60538750848855</v>
      </c>
      <c r="F2221" s="28">
        <f t="shared" si="290"/>
        <v>671.44046088628625</v>
      </c>
      <c r="G2221" s="28">
        <f t="shared" si="290"/>
        <v>288.03030158814772</v>
      </c>
      <c r="H2221" s="28">
        <f t="shared" si="290"/>
        <v>950.93089509287654</v>
      </c>
      <c r="I2221" s="28">
        <f t="shared" si="290"/>
        <v>932.96688100324604</v>
      </c>
      <c r="J2221" s="28">
        <f t="shared" si="290"/>
        <v>914.9094574999574</v>
      </c>
      <c r="K2221" s="10"/>
    </row>
    <row r="2222" spans="1:11">
      <c r="A2222" s="11" t="s">
        <v>132</v>
      </c>
      <c r="B2222" s="28">
        <f t="shared" ref="B2222:J2222" si="291">B$2117</f>
        <v>805.91853913822774</v>
      </c>
      <c r="C2222" s="28">
        <f t="shared" si="291"/>
        <v>1067.0607340636893</v>
      </c>
      <c r="D2222" s="28">
        <f t="shared" si="291"/>
        <v>743.6283338876699</v>
      </c>
      <c r="E2222" s="28">
        <f t="shared" si="291"/>
        <v>689.44229055896369</v>
      </c>
      <c r="F2222" s="28">
        <f t="shared" si="291"/>
        <v>684.17937231042185</v>
      </c>
      <c r="G2222" s="28">
        <f t="shared" si="291"/>
        <v>312.32328433204378</v>
      </c>
      <c r="H2222" s="28">
        <f t="shared" si="291"/>
        <v>968.97244181032056</v>
      </c>
      <c r="I2222" s="28">
        <f t="shared" si="291"/>
        <v>950.66760526860298</v>
      </c>
      <c r="J2222" s="28">
        <f t="shared" si="291"/>
        <v>932.26758710211402</v>
      </c>
      <c r="K2222" s="10"/>
    </row>
    <row r="2223" spans="1:11">
      <c r="A2223" s="11" t="s">
        <v>133</v>
      </c>
      <c r="B2223" s="28">
        <f t="shared" ref="B2223:J2223" si="292">B$2118</f>
        <v>86.642783302307507</v>
      </c>
      <c r="C2223" s="28">
        <f t="shared" si="292"/>
        <v>110.43157186736934</v>
      </c>
      <c r="D2223" s="28">
        <f t="shared" si="292"/>
        <v>76.959111299682505</v>
      </c>
      <c r="E2223" s="28">
        <f t="shared" si="292"/>
        <v>72.033733488292228</v>
      </c>
      <c r="F2223" s="28">
        <f t="shared" si="292"/>
        <v>71.483857660137318</v>
      </c>
      <c r="G2223" s="28">
        <f t="shared" si="292"/>
        <v>32.32276300545449</v>
      </c>
      <c r="H2223" s="28">
        <f t="shared" si="292"/>
        <v>101.23936925057968</v>
      </c>
      <c r="I2223" s="28">
        <f t="shared" si="292"/>
        <v>99.326858609661784</v>
      </c>
      <c r="J2223" s="28">
        <f t="shared" si="292"/>
        <v>97.404403281732854</v>
      </c>
      <c r="K2223" s="10"/>
    </row>
    <row r="2224" spans="1:11">
      <c r="A2224" s="11" t="s">
        <v>134</v>
      </c>
      <c r="B2224" s="28">
        <f t="shared" ref="B2224:J2224" si="293">B$2119</f>
        <v>0</v>
      </c>
      <c r="C2224" s="28">
        <f t="shared" si="293"/>
        <v>0</v>
      </c>
      <c r="D2224" s="28">
        <f t="shared" si="293"/>
        <v>0</v>
      </c>
      <c r="E2224" s="28">
        <f t="shared" si="293"/>
        <v>0</v>
      </c>
      <c r="F2224" s="28">
        <f t="shared" si="293"/>
        <v>0</v>
      </c>
      <c r="G2224" s="28">
        <f t="shared" si="293"/>
        <v>0</v>
      </c>
      <c r="H2224" s="28">
        <f t="shared" si="293"/>
        <v>0</v>
      </c>
      <c r="I2224" s="28">
        <f t="shared" si="293"/>
        <v>0</v>
      </c>
      <c r="J2224" s="28">
        <f t="shared" si="293"/>
        <v>0</v>
      </c>
      <c r="K2224" s="10"/>
    </row>
    <row r="2225" spans="1:11">
      <c r="A2225" s="11" t="s">
        <v>135</v>
      </c>
      <c r="B2225" s="28">
        <f t="shared" ref="B2225:J2225" si="294">B$2156</f>
        <v>20432.091522067596</v>
      </c>
      <c r="C2225" s="28">
        <f t="shared" si="294"/>
        <v>25991.740375837453</v>
      </c>
      <c r="D2225" s="28">
        <f t="shared" si="294"/>
        <v>18113.490613526086</v>
      </c>
      <c r="E2225" s="28">
        <f t="shared" si="294"/>
        <v>16931.386648237589</v>
      </c>
      <c r="F2225" s="28">
        <f t="shared" si="294"/>
        <v>16802.139421915163</v>
      </c>
      <c r="G2225" s="28">
        <f t="shared" si="294"/>
        <v>7607.6510554110755</v>
      </c>
      <c r="H2225" s="28">
        <f t="shared" si="294"/>
        <v>23796.113595637238</v>
      </c>
      <c r="I2225" s="28">
        <f t="shared" si="294"/>
        <v>23346.581750456498</v>
      </c>
      <c r="J2225" s="28">
        <f t="shared" si="294"/>
        <v>22894.712426254118</v>
      </c>
      <c r="K2225" s="10"/>
    </row>
    <row r="2226" spans="1:11">
      <c r="A2226" s="11" t="s">
        <v>1645</v>
      </c>
      <c r="B2226" s="28">
        <f t="shared" ref="B2226:J2226" si="295">B2189</f>
        <v>-74.395807571909216</v>
      </c>
      <c r="C2226" s="28">
        <f t="shared" si="295"/>
        <v>-73.681100893244732</v>
      </c>
      <c r="D2226" s="28">
        <f t="shared" si="295"/>
        <v>-51.347924768622015</v>
      </c>
      <c r="E2226" s="28">
        <f t="shared" si="295"/>
        <v>-50.707950633239001</v>
      </c>
      <c r="F2226" s="28">
        <f t="shared" si="295"/>
        <v>-50.32086704061885</v>
      </c>
      <c r="G2226" s="28">
        <f t="shared" si="295"/>
        <v>-21.566085874550932</v>
      </c>
      <c r="H2226" s="28">
        <f t="shared" si="295"/>
        <v>-71.267178438460789</v>
      </c>
      <c r="I2226" s="28">
        <f t="shared" si="295"/>
        <v>-69.920871778110154</v>
      </c>
      <c r="J2226" s="28">
        <f t="shared" si="295"/>
        <v>0</v>
      </c>
      <c r="K2226" s="10"/>
    </row>
    <row r="2227" spans="1:11">
      <c r="A2227" s="11" t="s">
        <v>100</v>
      </c>
      <c r="B2227" s="28">
        <f t="shared" ref="B2227:J2227" si="296">B2190</f>
        <v>0</v>
      </c>
      <c r="C2227" s="28">
        <f t="shared" si="296"/>
        <v>0</v>
      </c>
      <c r="D2227" s="28">
        <f t="shared" si="296"/>
        <v>0</v>
      </c>
      <c r="E2227" s="28">
        <f t="shared" si="296"/>
        <v>0</v>
      </c>
      <c r="F2227" s="28">
        <f t="shared" si="296"/>
        <v>0</v>
      </c>
      <c r="G2227" s="28">
        <f t="shared" si="296"/>
        <v>0</v>
      </c>
      <c r="H2227" s="28">
        <f t="shared" si="296"/>
        <v>0</v>
      </c>
      <c r="I2227" s="28">
        <f t="shared" si="296"/>
        <v>0</v>
      </c>
      <c r="J2227" s="28">
        <f t="shared" si="296"/>
        <v>0</v>
      </c>
      <c r="K2227" s="10"/>
    </row>
    <row r="2228" spans="1:11">
      <c r="A2228" s="11" t="s">
        <v>101</v>
      </c>
      <c r="B2228" s="28">
        <f t="shared" ref="B2228:J2228" si="297">B2191</f>
        <v>-1177.1398296990519</v>
      </c>
      <c r="C2228" s="28">
        <f t="shared" si="297"/>
        <v>-1165.8312664148277</v>
      </c>
      <c r="D2228" s="28">
        <f t="shared" si="297"/>
        <v>-812.46093550516287</v>
      </c>
      <c r="E2228" s="28">
        <f t="shared" si="297"/>
        <v>-802.3348401064618</v>
      </c>
      <c r="F2228" s="28">
        <f t="shared" si="297"/>
        <v>-796.21014667053453</v>
      </c>
      <c r="G2228" s="28">
        <f t="shared" si="297"/>
        <v>-341.23292000165759</v>
      </c>
      <c r="H2228" s="28">
        <f t="shared" si="297"/>
        <v>-1127.6365836756893</v>
      </c>
      <c r="I2228" s="28">
        <f t="shared" si="297"/>
        <v>-1106.334426408883</v>
      </c>
      <c r="J2228" s="28">
        <f t="shared" si="297"/>
        <v>0</v>
      </c>
      <c r="K2228" s="10"/>
    </row>
    <row r="2229" spans="1:11">
      <c r="A2229" s="11" t="s">
        <v>102</v>
      </c>
      <c r="B2229" s="28">
        <f t="shared" ref="B2229:J2229" si="298">B$2157</f>
        <v>-228.16588866994891</v>
      </c>
      <c r="C2229" s="28">
        <f t="shared" si="298"/>
        <v>-224.41107557415992</v>
      </c>
      <c r="D2229" s="28">
        <f t="shared" si="298"/>
        <v>-156.3907553786832</v>
      </c>
      <c r="E2229" s="28">
        <f t="shared" si="298"/>
        <v>-155.94052914648256</v>
      </c>
      <c r="F2229" s="28">
        <f t="shared" si="298"/>
        <v>-154.7501434278071</v>
      </c>
      <c r="G2229" s="28">
        <f t="shared" si="298"/>
        <v>-65.683987730378576</v>
      </c>
      <c r="H2229" s="28">
        <f t="shared" si="298"/>
        <v>-219.16566096018715</v>
      </c>
      <c r="I2229" s="28">
        <f t="shared" si="298"/>
        <v>-215.02540740257459</v>
      </c>
      <c r="J2229" s="28">
        <f t="shared" si="298"/>
        <v>0</v>
      </c>
      <c r="K2229" s="10"/>
    </row>
    <row r="2230" spans="1:11">
      <c r="A2230" s="11" t="s">
        <v>103</v>
      </c>
      <c r="B2230" s="28">
        <f t="shared" ref="B2230:J2230" si="299">B2193</f>
        <v>-4.5630628415300549</v>
      </c>
      <c r="C2230" s="28">
        <f t="shared" si="299"/>
        <v>-4.5192263459741069</v>
      </c>
      <c r="D2230" s="28">
        <f t="shared" si="299"/>
        <v>-3.1494221939174114</v>
      </c>
      <c r="E2230" s="28">
        <f t="shared" si="299"/>
        <v>-3.11016941486956</v>
      </c>
      <c r="F2230" s="28">
        <f t="shared" si="299"/>
        <v>-3.0864276636110142</v>
      </c>
      <c r="G2230" s="28">
        <f t="shared" si="299"/>
        <v>-1.3227547129761488</v>
      </c>
      <c r="H2230" s="28">
        <f t="shared" si="299"/>
        <v>-4.3711685425137032</v>
      </c>
      <c r="I2230" s="28">
        <f t="shared" si="299"/>
        <v>0</v>
      </c>
      <c r="J2230" s="28">
        <f t="shared" si="299"/>
        <v>0</v>
      </c>
      <c r="K2230" s="10"/>
    </row>
    <row r="2231" spans="1:11">
      <c r="A2231" s="11" t="s">
        <v>104</v>
      </c>
      <c r="B2231" s="28">
        <f t="shared" ref="B2231:J2231" si="300">B$2158</f>
        <v>0</v>
      </c>
      <c r="C2231" s="28">
        <f t="shared" si="300"/>
        <v>0</v>
      </c>
      <c r="D2231" s="28">
        <f t="shared" si="300"/>
        <v>0</v>
      </c>
      <c r="E2231" s="28">
        <f t="shared" si="300"/>
        <v>0</v>
      </c>
      <c r="F2231" s="28">
        <f t="shared" si="300"/>
        <v>0</v>
      </c>
      <c r="G2231" s="28">
        <f t="shared" si="300"/>
        <v>0</v>
      </c>
      <c r="H2231" s="28">
        <f t="shared" si="300"/>
        <v>0</v>
      </c>
      <c r="I2231" s="28">
        <f t="shared" si="300"/>
        <v>0</v>
      </c>
      <c r="J2231" s="28">
        <f t="shared" si="300"/>
        <v>0</v>
      </c>
      <c r="K2231" s="10"/>
    </row>
    <row r="2232" spans="1:11">
      <c r="A2232" s="11" t="s">
        <v>112</v>
      </c>
      <c r="B2232" s="28">
        <f t="shared" ref="B2232:J2232" si="301">B2195</f>
        <v>-5297.660501646279</v>
      </c>
      <c r="C2232" s="28">
        <f t="shared" si="301"/>
        <v>-5246.7668630744565</v>
      </c>
      <c r="D2232" s="28">
        <f t="shared" si="301"/>
        <v>-3656.4408905071923</v>
      </c>
      <c r="E2232" s="28">
        <f t="shared" si="301"/>
        <v>-3610.8688910928872</v>
      </c>
      <c r="F2232" s="28">
        <f t="shared" si="301"/>
        <v>-3583.305006428056</v>
      </c>
      <c r="G2232" s="28">
        <f t="shared" si="301"/>
        <v>-1535.7021456120237</v>
      </c>
      <c r="H2232" s="28">
        <f t="shared" si="301"/>
        <v>0</v>
      </c>
      <c r="I2232" s="28">
        <f t="shared" si="301"/>
        <v>0</v>
      </c>
      <c r="J2232" s="28">
        <f t="shared" si="301"/>
        <v>0</v>
      </c>
      <c r="K2232" s="10"/>
    </row>
    <row r="2233" spans="1:11">
      <c r="A2233" s="11" t="s">
        <v>113</v>
      </c>
      <c r="B2233" s="28">
        <f t="shared" ref="B2233:J2233" si="302">B$2159</f>
        <v>-13628.404855404649</v>
      </c>
      <c r="C2233" s="28">
        <f t="shared" si="302"/>
        <v>-13432.764479445661</v>
      </c>
      <c r="D2233" s="28">
        <f t="shared" si="302"/>
        <v>-9361.2143624801793</v>
      </c>
      <c r="E2233" s="28">
        <f t="shared" si="302"/>
        <v>-9179.5847628641113</v>
      </c>
      <c r="F2233" s="28">
        <f t="shared" si="302"/>
        <v>-9109.5115967353777</v>
      </c>
      <c r="G2233" s="28">
        <f t="shared" si="302"/>
        <v>-3931.7022789340858</v>
      </c>
      <c r="H2233" s="28">
        <f t="shared" si="302"/>
        <v>0</v>
      </c>
      <c r="I2233" s="28">
        <f t="shared" si="302"/>
        <v>0</v>
      </c>
      <c r="J2233" s="28">
        <f t="shared" si="302"/>
        <v>0</v>
      </c>
      <c r="K2233" s="10"/>
    </row>
    <row r="2235" spans="1:11" ht="21" customHeight="1">
      <c r="A2235" s="1" t="s">
        <v>565</v>
      </c>
    </row>
    <row r="2236" spans="1:11">
      <c r="A2236" s="2" t="s">
        <v>255</v>
      </c>
    </row>
    <row r="2237" spans="1:11">
      <c r="A2237" s="12" t="s">
        <v>566</v>
      </c>
    </row>
    <row r="2238" spans="1:11">
      <c r="A2238" s="2" t="s">
        <v>567</v>
      </c>
    </row>
    <row r="2240" spans="1:11">
      <c r="B2240" s="3" t="s">
        <v>60</v>
      </c>
      <c r="C2240" s="3" t="s">
        <v>61</v>
      </c>
      <c r="D2240" s="3" t="s">
        <v>62</v>
      </c>
      <c r="E2240" s="3" t="s">
        <v>63</v>
      </c>
      <c r="F2240" s="3" t="s">
        <v>64</v>
      </c>
      <c r="G2240" s="3" t="s">
        <v>69</v>
      </c>
      <c r="H2240" s="3" t="s">
        <v>65</v>
      </c>
      <c r="I2240" s="3" t="s">
        <v>66</v>
      </c>
      <c r="J2240" s="3" t="s">
        <v>67</v>
      </c>
    </row>
    <row r="2241" spans="1:12" ht="30">
      <c r="A2241" s="11" t="s">
        <v>568</v>
      </c>
      <c r="B2241" s="15">
        <f t="shared" ref="B2241:J2241" si="303">SUM(B$2207:B$2233)</f>
        <v>1642126.5781199718</v>
      </c>
      <c r="C2241" s="15">
        <f t="shared" si="303"/>
        <v>1622700.6273254876</v>
      </c>
      <c r="D2241" s="15">
        <f t="shared" si="303"/>
        <v>1130850.4992973593</v>
      </c>
      <c r="E2241" s="15">
        <f t="shared" si="303"/>
        <v>1119388.6752953338</v>
      </c>
      <c r="F2241" s="15">
        <f t="shared" si="303"/>
        <v>1110843.723575522</v>
      </c>
      <c r="G2241" s="15">
        <f t="shared" si="303"/>
        <v>474956.27309224417</v>
      </c>
      <c r="H2241" s="15">
        <f t="shared" si="303"/>
        <v>1591214.2178792746</v>
      </c>
      <c r="I2241" s="15">
        <f t="shared" si="303"/>
        <v>1282315.5995527164</v>
      </c>
      <c r="J2241" s="15">
        <f t="shared" si="303"/>
        <v>1256336.0340364748</v>
      </c>
      <c r="K2241" s="10"/>
    </row>
    <row r="2243" spans="1:12" ht="21" customHeight="1">
      <c r="A2243" s="1" t="str">
        <f>"Forecast aggregate maximum load"&amp;" for "&amp;CDCM!B7&amp;" in "&amp;CDCM!C7&amp;" ("&amp;CDCM!D7&amp;")"</f>
        <v>Forecast aggregate maximum load for 0 in 0 (0)</v>
      </c>
    </row>
    <row r="2245" spans="1:12" ht="21" customHeight="1">
      <c r="A2245" s="1" t="s">
        <v>569</v>
      </c>
    </row>
    <row r="2246" spans="1:12">
      <c r="A2246" s="2" t="s">
        <v>255</v>
      </c>
    </row>
    <row r="2247" spans="1:12">
      <c r="A2247" s="12" t="s">
        <v>570</v>
      </c>
    </row>
    <row r="2248" spans="1:12">
      <c r="A2248" s="12" t="s">
        <v>571</v>
      </c>
    </row>
    <row r="2249" spans="1:12">
      <c r="A2249" s="12" t="s">
        <v>572</v>
      </c>
    </row>
    <row r="2250" spans="1:12">
      <c r="A2250" s="21" t="s">
        <v>258</v>
      </c>
      <c r="B2250" s="2" t="s">
        <v>259</v>
      </c>
      <c r="C2250" s="2"/>
      <c r="D2250" s="2"/>
      <c r="E2250" s="2"/>
      <c r="F2250" s="2"/>
      <c r="G2250" s="2"/>
      <c r="H2250" s="2"/>
      <c r="I2250" s="2"/>
      <c r="J2250" s="21" t="s">
        <v>259</v>
      </c>
      <c r="K2250" s="21" t="s">
        <v>385</v>
      </c>
    </row>
    <row r="2251" spans="1:12">
      <c r="A2251" s="21" t="s">
        <v>261</v>
      </c>
      <c r="B2251" s="2" t="s">
        <v>262</v>
      </c>
      <c r="C2251" s="2"/>
      <c r="D2251" s="2"/>
      <c r="E2251" s="2"/>
      <c r="F2251" s="2"/>
      <c r="G2251" s="2"/>
      <c r="H2251" s="2"/>
      <c r="I2251" s="2"/>
      <c r="J2251" s="21" t="s">
        <v>262</v>
      </c>
      <c r="K2251" s="21" t="s">
        <v>573</v>
      </c>
    </row>
    <row r="2253" spans="1:12">
      <c r="B2253" s="22" t="s">
        <v>574</v>
      </c>
      <c r="C2253" s="22"/>
      <c r="D2253" s="22"/>
      <c r="E2253" s="22"/>
      <c r="F2253" s="22"/>
      <c r="G2253" s="22"/>
      <c r="H2253" s="22"/>
      <c r="I2253" s="22"/>
    </row>
    <row r="2254" spans="1:12" ht="30">
      <c r="B2254" s="3" t="s">
        <v>60</v>
      </c>
      <c r="C2254" s="3" t="s">
        <v>61</v>
      </c>
      <c r="D2254" s="3" t="s">
        <v>62</v>
      </c>
      <c r="E2254" s="3" t="s">
        <v>63</v>
      </c>
      <c r="F2254" s="3" t="s">
        <v>64</v>
      </c>
      <c r="G2254" s="3" t="s">
        <v>65</v>
      </c>
      <c r="H2254" s="3" t="s">
        <v>66</v>
      </c>
      <c r="I2254" s="3" t="s">
        <v>67</v>
      </c>
      <c r="J2254" s="3" t="s">
        <v>575</v>
      </c>
      <c r="K2254" s="3" t="s">
        <v>576</v>
      </c>
    </row>
    <row r="2255" spans="1:12">
      <c r="A2255" s="11" t="s">
        <v>92</v>
      </c>
      <c r="B2255" s="5">
        <v>0</v>
      </c>
      <c r="C2255" s="5">
        <v>0</v>
      </c>
      <c r="D2255" s="5">
        <v>0</v>
      </c>
      <c r="E2255" s="5">
        <v>0</v>
      </c>
      <c r="F2255" s="5">
        <v>0</v>
      </c>
      <c r="G2255" s="5">
        <v>0</v>
      </c>
      <c r="H2255" s="5">
        <v>0</v>
      </c>
      <c r="I2255" s="5">
        <v>1</v>
      </c>
      <c r="J2255" s="5">
        <v>0</v>
      </c>
      <c r="K2255" s="6">
        <f t="shared" ref="K2255:K2273" si="304">$C2255+0.2*$B$36*$J2255</f>
        <v>0</v>
      </c>
      <c r="L2255" s="10"/>
    </row>
    <row r="2256" spans="1:12">
      <c r="A2256" s="11" t="s">
        <v>93</v>
      </c>
      <c r="B2256" s="5">
        <v>0</v>
      </c>
      <c r="C2256" s="5">
        <v>0</v>
      </c>
      <c r="D2256" s="5">
        <v>0</v>
      </c>
      <c r="E2256" s="5">
        <v>0</v>
      </c>
      <c r="F2256" s="5">
        <v>0</v>
      </c>
      <c r="G2256" s="5">
        <v>0</v>
      </c>
      <c r="H2256" s="5">
        <v>0</v>
      </c>
      <c r="I2256" s="5">
        <v>1</v>
      </c>
      <c r="J2256" s="5">
        <v>0</v>
      </c>
      <c r="K2256" s="6">
        <f t="shared" si="304"/>
        <v>0</v>
      </c>
      <c r="L2256" s="10"/>
    </row>
    <row r="2257" spans="1:12">
      <c r="A2257" s="11" t="s">
        <v>129</v>
      </c>
      <c r="B2257" s="5">
        <v>0</v>
      </c>
      <c r="C2257" s="5">
        <v>0</v>
      </c>
      <c r="D2257" s="5">
        <v>0</v>
      </c>
      <c r="E2257" s="5">
        <v>0</v>
      </c>
      <c r="F2257" s="5">
        <v>0</v>
      </c>
      <c r="G2257" s="5">
        <v>0</v>
      </c>
      <c r="H2257" s="5">
        <v>0</v>
      </c>
      <c r="I2257" s="5">
        <v>1</v>
      </c>
      <c r="J2257" s="5">
        <v>0</v>
      </c>
      <c r="K2257" s="6">
        <f t="shared" si="304"/>
        <v>0</v>
      </c>
      <c r="L2257" s="10"/>
    </row>
    <row r="2258" spans="1:12">
      <c r="A2258" s="11" t="s">
        <v>94</v>
      </c>
      <c r="B2258" s="5">
        <v>0</v>
      </c>
      <c r="C2258" s="5">
        <v>0</v>
      </c>
      <c r="D2258" s="5">
        <v>0</v>
      </c>
      <c r="E2258" s="5">
        <v>0</v>
      </c>
      <c r="F2258" s="5">
        <v>0</v>
      </c>
      <c r="G2258" s="5">
        <v>0</v>
      </c>
      <c r="H2258" s="5">
        <v>0</v>
      </c>
      <c r="I2258" s="5">
        <v>1</v>
      </c>
      <c r="J2258" s="5">
        <v>0</v>
      </c>
      <c r="K2258" s="6">
        <f t="shared" si="304"/>
        <v>0</v>
      </c>
      <c r="L2258" s="10"/>
    </row>
    <row r="2259" spans="1:12">
      <c r="A2259" s="11" t="s">
        <v>95</v>
      </c>
      <c r="B2259" s="5">
        <v>0</v>
      </c>
      <c r="C2259" s="5">
        <v>0</v>
      </c>
      <c r="D2259" s="5">
        <v>0</v>
      </c>
      <c r="E2259" s="5">
        <v>0</v>
      </c>
      <c r="F2259" s="5">
        <v>0</v>
      </c>
      <c r="G2259" s="5">
        <v>0</v>
      </c>
      <c r="H2259" s="5">
        <v>0</v>
      </c>
      <c r="I2259" s="5">
        <v>1</v>
      </c>
      <c r="J2259" s="5">
        <v>0</v>
      </c>
      <c r="K2259" s="6">
        <f t="shared" si="304"/>
        <v>0</v>
      </c>
      <c r="L2259" s="10"/>
    </row>
    <row r="2260" spans="1:12">
      <c r="A2260" s="11" t="s">
        <v>130</v>
      </c>
      <c r="B2260" s="5">
        <v>0</v>
      </c>
      <c r="C2260" s="5">
        <v>0</v>
      </c>
      <c r="D2260" s="5">
        <v>0</v>
      </c>
      <c r="E2260" s="5">
        <v>0</v>
      </c>
      <c r="F2260" s="5">
        <v>0</v>
      </c>
      <c r="G2260" s="5">
        <v>0</v>
      </c>
      <c r="H2260" s="5">
        <v>0</v>
      </c>
      <c r="I2260" s="5">
        <v>1</v>
      </c>
      <c r="J2260" s="5">
        <v>0</v>
      </c>
      <c r="K2260" s="6">
        <f t="shared" si="304"/>
        <v>0</v>
      </c>
      <c r="L2260" s="10"/>
    </row>
    <row r="2261" spans="1:12">
      <c r="A2261" s="11" t="s">
        <v>96</v>
      </c>
      <c r="B2261" s="5">
        <v>0</v>
      </c>
      <c r="C2261" s="5">
        <v>0</v>
      </c>
      <c r="D2261" s="5">
        <v>0</v>
      </c>
      <c r="E2261" s="5">
        <v>0</v>
      </c>
      <c r="F2261" s="5">
        <v>0</v>
      </c>
      <c r="G2261" s="5">
        <v>0</v>
      </c>
      <c r="H2261" s="5">
        <v>0</v>
      </c>
      <c r="I2261" s="5">
        <v>1</v>
      </c>
      <c r="J2261" s="5">
        <v>0</v>
      </c>
      <c r="K2261" s="6">
        <f t="shared" si="304"/>
        <v>0</v>
      </c>
      <c r="L2261" s="10"/>
    </row>
    <row r="2262" spans="1:12">
      <c r="A2262" s="11" t="s">
        <v>97</v>
      </c>
      <c r="B2262" s="5">
        <v>0</v>
      </c>
      <c r="C2262" s="5">
        <v>0</v>
      </c>
      <c r="D2262" s="5">
        <v>0</v>
      </c>
      <c r="E2262" s="5">
        <v>0</v>
      </c>
      <c r="F2262" s="5">
        <v>0</v>
      </c>
      <c r="G2262" s="5">
        <v>0</v>
      </c>
      <c r="H2262" s="5">
        <v>1</v>
      </c>
      <c r="I2262" s="5">
        <v>0</v>
      </c>
      <c r="J2262" s="5">
        <v>0</v>
      </c>
      <c r="K2262" s="6">
        <f t="shared" si="304"/>
        <v>0</v>
      </c>
      <c r="L2262" s="10"/>
    </row>
    <row r="2263" spans="1:12">
      <c r="A2263" s="11" t="s">
        <v>110</v>
      </c>
      <c r="B2263" s="5">
        <v>0</v>
      </c>
      <c r="C2263" s="5">
        <v>0</v>
      </c>
      <c r="D2263" s="5">
        <v>0</v>
      </c>
      <c r="E2263" s="5">
        <v>0.2</v>
      </c>
      <c r="F2263" s="5">
        <v>1</v>
      </c>
      <c r="G2263" s="5">
        <v>1</v>
      </c>
      <c r="H2263" s="5">
        <v>0</v>
      </c>
      <c r="I2263" s="5">
        <v>0</v>
      </c>
      <c r="J2263" s="5">
        <v>1</v>
      </c>
      <c r="K2263" s="6">
        <f t="shared" si="304"/>
        <v>0.06</v>
      </c>
      <c r="L2263" s="10"/>
    </row>
    <row r="2264" spans="1:12">
      <c r="A2264" s="11" t="s">
        <v>1647</v>
      </c>
      <c r="B2264" s="5">
        <v>0</v>
      </c>
      <c r="C2264" s="5">
        <v>0</v>
      </c>
      <c r="D2264" s="5">
        <v>0</v>
      </c>
      <c r="E2264" s="5">
        <v>0</v>
      </c>
      <c r="F2264" s="5">
        <v>0</v>
      </c>
      <c r="G2264" s="5">
        <v>0</v>
      </c>
      <c r="H2264" s="5">
        <v>0</v>
      </c>
      <c r="I2264" s="5">
        <v>1</v>
      </c>
      <c r="J2264" s="5">
        <v>0</v>
      </c>
      <c r="K2264" s="6">
        <f t="shared" si="304"/>
        <v>0</v>
      </c>
      <c r="L2264" s="10"/>
    </row>
    <row r="2265" spans="1:12">
      <c r="A2265" s="11" t="s">
        <v>1646</v>
      </c>
      <c r="B2265" s="5">
        <v>0</v>
      </c>
      <c r="C2265" s="5">
        <v>0</v>
      </c>
      <c r="D2265" s="5">
        <v>0</v>
      </c>
      <c r="E2265" s="5">
        <v>0</v>
      </c>
      <c r="F2265" s="5">
        <v>0</v>
      </c>
      <c r="G2265" s="5">
        <v>0</v>
      </c>
      <c r="H2265" s="5">
        <v>0</v>
      </c>
      <c r="I2265" s="5">
        <v>1</v>
      </c>
      <c r="J2265" s="5">
        <v>0</v>
      </c>
      <c r="K2265" s="6">
        <f t="shared" si="304"/>
        <v>0</v>
      </c>
      <c r="L2265" s="10"/>
    </row>
    <row r="2266" spans="1:12">
      <c r="A2266" s="11" t="s">
        <v>98</v>
      </c>
      <c r="B2266" s="5">
        <v>0</v>
      </c>
      <c r="C2266" s="5">
        <v>0</v>
      </c>
      <c r="D2266" s="5">
        <v>0</v>
      </c>
      <c r="E2266" s="5">
        <v>0</v>
      </c>
      <c r="F2266" s="5">
        <v>0</v>
      </c>
      <c r="G2266" s="5">
        <v>0.2</v>
      </c>
      <c r="H2266" s="5">
        <v>1</v>
      </c>
      <c r="I2266" s="5">
        <v>1</v>
      </c>
      <c r="J2266" s="5">
        <v>0</v>
      </c>
      <c r="K2266" s="6">
        <f t="shared" si="304"/>
        <v>0</v>
      </c>
      <c r="L2266" s="10"/>
    </row>
    <row r="2267" spans="1:12">
      <c r="A2267" s="11" t="s">
        <v>99</v>
      </c>
      <c r="B2267" s="5">
        <v>0</v>
      </c>
      <c r="C2267" s="5">
        <v>0</v>
      </c>
      <c r="D2267" s="5">
        <v>0</v>
      </c>
      <c r="E2267" s="5">
        <v>0</v>
      </c>
      <c r="F2267" s="5">
        <v>0</v>
      </c>
      <c r="G2267" s="5">
        <v>1</v>
      </c>
      <c r="H2267" s="5">
        <v>1</v>
      </c>
      <c r="I2267" s="5">
        <v>0</v>
      </c>
      <c r="J2267" s="5">
        <v>0</v>
      </c>
      <c r="K2267" s="6">
        <f t="shared" si="304"/>
        <v>0</v>
      </c>
      <c r="L2267" s="10"/>
    </row>
    <row r="2268" spans="1:12">
      <c r="A2268" s="11" t="s">
        <v>111</v>
      </c>
      <c r="B2268" s="5">
        <v>0</v>
      </c>
      <c r="C2268" s="5">
        <v>0</v>
      </c>
      <c r="D2268" s="5">
        <v>0</v>
      </c>
      <c r="E2268" s="5">
        <v>0.2</v>
      </c>
      <c r="F2268" s="5">
        <v>1</v>
      </c>
      <c r="G2268" s="5">
        <v>1</v>
      </c>
      <c r="H2268" s="5">
        <v>0</v>
      </c>
      <c r="I2268" s="5">
        <v>0</v>
      </c>
      <c r="J2268" s="5">
        <v>1</v>
      </c>
      <c r="K2268" s="6">
        <f t="shared" si="304"/>
        <v>0.06</v>
      </c>
      <c r="L2268" s="10"/>
    </row>
    <row r="2269" spans="1:12">
      <c r="A2269" s="11" t="s">
        <v>131</v>
      </c>
      <c r="B2269" s="5">
        <v>0</v>
      </c>
      <c r="C2269" s="5">
        <v>0</v>
      </c>
      <c r="D2269" s="5">
        <v>0</v>
      </c>
      <c r="E2269" s="5">
        <v>0</v>
      </c>
      <c r="F2269" s="5">
        <v>0</v>
      </c>
      <c r="G2269" s="5">
        <v>0</v>
      </c>
      <c r="H2269" s="5">
        <v>0</v>
      </c>
      <c r="I2269" s="5">
        <v>0</v>
      </c>
      <c r="J2269" s="5">
        <v>0</v>
      </c>
      <c r="K2269" s="6">
        <f t="shared" si="304"/>
        <v>0</v>
      </c>
      <c r="L2269" s="10"/>
    </row>
    <row r="2270" spans="1:12">
      <c r="A2270" s="11" t="s">
        <v>132</v>
      </c>
      <c r="B2270" s="5">
        <v>0</v>
      </c>
      <c r="C2270" s="5">
        <v>0</v>
      </c>
      <c r="D2270" s="5">
        <v>0</v>
      </c>
      <c r="E2270" s="5">
        <v>0</v>
      </c>
      <c r="F2270" s="5">
        <v>0</v>
      </c>
      <c r="G2270" s="5">
        <v>0</v>
      </c>
      <c r="H2270" s="5">
        <v>0</v>
      </c>
      <c r="I2270" s="5">
        <v>0</v>
      </c>
      <c r="J2270" s="5">
        <v>0</v>
      </c>
      <c r="K2270" s="6">
        <f t="shared" si="304"/>
        <v>0</v>
      </c>
      <c r="L2270" s="10"/>
    </row>
    <row r="2271" spans="1:12">
      <c r="A2271" s="11" t="s">
        <v>133</v>
      </c>
      <c r="B2271" s="5">
        <v>0</v>
      </c>
      <c r="C2271" s="5">
        <v>0</v>
      </c>
      <c r="D2271" s="5">
        <v>0</v>
      </c>
      <c r="E2271" s="5">
        <v>0</v>
      </c>
      <c r="F2271" s="5">
        <v>0</v>
      </c>
      <c r="G2271" s="5">
        <v>0</v>
      </c>
      <c r="H2271" s="5">
        <v>0</v>
      </c>
      <c r="I2271" s="5">
        <v>0</v>
      </c>
      <c r="J2271" s="5">
        <v>0</v>
      </c>
      <c r="K2271" s="6">
        <f t="shared" si="304"/>
        <v>0</v>
      </c>
      <c r="L2271" s="10"/>
    </row>
    <row r="2272" spans="1:12">
      <c r="A2272" s="11" t="s">
        <v>134</v>
      </c>
      <c r="B2272" s="5">
        <v>0</v>
      </c>
      <c r="C2272" s="5">
        <v>0</v>
      </c>
      <c r="D2272" s="5">
        <v>0</v>
      </c>
      <c r="E2272" s="5">
        <v>0</v>
      </c>
      <c r="F2272" s="5">
        <v>0</v>
      </c>
      <c r="G2272" s="5">
        <v>0</v>
      </c>
      <c r="H2272" s="5">
        <v>0</v>
      </c>
      <c r="I2272" s="5">
        <v>0</v>
      </c>
      <c r="J2272" s="5">
        <v>0</v>
      </c>
      <c r="K2272" s="6">
        <f t="shared" si="304"/>
        <v>0</v>
      </c>
      <c r="L2272" s="10"/>
    </row>
    <row r="2273" spans="1:12">
      <c r="A2273" s="11" t="s">
        <v>135</v>
      </c>
      <c r="B2273" s="5">
        <v>0</v>
      </c>
      <c r="C2273" s="5">
        <v>0</v>
      </c>
      <c r="D2273" s="5">
        <v>0</v>
      </c>
      <c r="E2273" s="5">
        <v>0</v>
      </c>
      <c r="F2273" s="5">
        <v>0</v>
      </c>
      <c r="G2273" s="5">
        <v>0</v>
      </c>
      <c r="H2273" s="5">
        <v>0</v>
      </c>
      <c r="I2273" s="5">
        <v>0</v>
      </c>
      <c r="J2273" s="5">
        <v>0</v>
      </c>
      <c r="K2273" s="6">
        <f t="shared" si="304"/>
        <v>0</v>
      </c>
      <c r="L2273" s="10"/>
    </row>
    <row r="2275" spans="1:12" ht="21" customHeight="1">
      <c r="A2275" s="1" t="s">
        <v>577</v>
      </c>
    </row>
    <row r="2276" spans="1:12">
      <c r="A2276" s="2" t="s">
        <v>255</v>
      </c>
    </row>
    <row r="2277" spans="1:12">
      <c r="A2277" s="12" t="s">
        <v>578</v>
      </c>
    </row>
    <row r="2278" spans="1:12">
      <c r="A2278" s="12" t="s">
        <v>579</v>
      </c>
    </row>
    <row r="2279" spans="1:12">
      <c r="A2279" s="12" t="s">
        <v>580</v>
      </c>
    </row>
    <row r="2280" spans="1:12">
      <c r="A2280" s="2" t="s">
        <v>295</v>
      </c>
    </row>
    <row r="2282" spans="1:12">
      <c r="B2282" s="3" t="s">
        <v>60</v>
      </c>
      <c r="C2282" s="3" t="s">
        <v>61</v>
      </c>
      <c r="D2282" s="3" t="s">
        <v>62</v>
      </c>
      <c r="E2282" s="3" t="s">
        <v>63</v>
      </c>
      <c r="F2282" s="3" t="s">
        <v>64</v>
      </c>
      <c r="G2282" s="3" t="s">
        <v>69</v>
      </c>
      <c r="H2282" s="3" t="s">
        <v>65</v>
      </c>
      <c r="I2282" s="3" t="s">
        <v>66</v>
      </c>
      <c r="J2282" s="3" t="s">
        <v>67</v>
      </c>
    </row>
    <row r="2283" spans="1:12">
      <c r="A2283" s="11" t="s">
        <v>92</v>
      </c>
      <c r="B2283" s="7">
        <f t="shared" ref="B2283:B2301" si="305">$B2255</f>
        <v>0</v>
      </c>
      <c r="C2283" s="7">
        <f t="shared" ref="C2283:C2301" si="306">$K2255</f>
        <v>0</v>
      </c>
      <c r="D2283" s="7">
        <f t="shared" ref="D2283:D2301" si="307">$D2255</f>
        <v>0</v>
      </c>
      <c r="E2283" s="7">
        <f t="shared" ref="E2283:E2301" si="308">$E2255</f>
        <v>0</v>
      </c>
      <c r="F2283" s="7">
        <f t="shared" ref="F2283:F2301" si="309">$F2255</f>
        <v>0</v>
      </c>
      <c r="G2283" s="5">
        <v>0</v>
      </c>
      <c r="H2283" s="7">
        <f t="shared" ref="H2283:H2301" si="310">$G2255</f>
        <v>0</v>
      </c>
      <c r="I2283" s="7">
        <f t="shared" ref="I2283:I2301" si="311">$H2255</f>
        <v>0</v>
      </c>
      <c r="J2283" s="7">
        <f t="shared" ref="J2283:J2301" si="312">$I2255</f>
        <v>1</v>
      </c>
      <c r="K2283" s="10"/>
    </row>
    <row r="2284" spans="1:12">
      <c r="A2284" s="11" t="s">
        <v>93</v>
      </c>
      <c r="B2284" s="7">
        <f t="shared" si="305"/>
        <v>0</v>
      </c>
      <c r="C2284" s="7">
        <f t="shared" si="306"/>
        <v>0</v>
      </c>
      <c r="D2284" s="7">
        <f t="shared" si="307"/>
        <v>0</v>
      </c>
      <c r="E2284" s="7">
        <f t="shared" si="308"/>
        <v>0</v>
      </c>
      <c r="F2284" s="7">
        <f t="shared" si="309"/>
        <v>0</v>
      </c>
      <c r="G2284" s="5">
        <v>0</v>
      </c>
      <c r="H2284" s="7">
        <f t="shared" si="310"/>
        <v>0</v>
      </c>
      <c r="I2284" s="7">
        <f t="shared" si="311"/>
        <v>0</v>
      </c>
      <c r="J2284" s="7">
        <f t="shared" si="312"/>
        <v>1</v>
      </c>
      <c r="K2284" s="10"/>
    </row>
    <row r="2285" spans="1:12">
      <c r="A2285" s="11" t="s">
        <v>129</v>
      </c>
      <c r="B2285" s="7">
        <f t="shared" si="305"/>
        <v>0</v>
      </c>
      <c r="C2285" s="7">
        <f t="shared" si="306"/>
        <v>0</v>
      </c>
      <c r="D2285" s="7">
        <f t="shared" si="307"/>
        <v>0</v>
      </c>
      <c r="E2285" s="7">
        <f t="shared" si="308"/>
        <v>0</v>
      </c>
      <c r="F2285" s="7">
        <f t="shared" si="309"/>
        <v>0</v>
      </c>
      <c r="G2285" s="5">
        <v>0</v>
      </c>
      <c r="H2285" s="7">
        <f t="shared" si="310"/>
        <v>0</v>
      </c>
      <c r="I2285" s="7">
        <f t="shared" si="311"/>
        <v>0</v>
      </c>
      <c r="J2285" s="7">
        <f t="shared" si="312"/>
        <v>1</v>
      </c>
      <c r="K2285" s="10"/>
    </row>
    <row r="2286" spans="1:12">
      <c r="A2286" s="11" t="s">
        <v>94</v>
      </c>
      <c r="B2286" s="7">
        <f t="shared" si="305"/>
        <v>0</v>
      </c>
      <c r="C2286" s="7">
        <f t="shared" si="306"/>
        <v>0</v>
      </c>
      <c r="D2286" s="7">
        <f t="shared" si="307"/>
        <v>0</v>
      </c>
      <c r="E2286" s="7">
        <f t="shared" si="308"/>
        <v>0</v>
      </c>
      <c r="F2286" s="7">
        <f t="shared" si="309"/>
        <v>0</v>
      </c>
      <c r="G2286" s="5">
        <v>0</v>
      </c>
      <c r="H2286" s="7">
        <f t="shared" si="310"/>
        <v>0</v>
      </c>
      <c r="I2286" s="7">
        <f t="shared" si="311"/>
        <v>0</v>
      </c>
      <c r="J2286" s="7">
        <f t="shared" si="312"/>
        <v>1</v>
      </c>
      <c r="K2286" s="10"/>
    </row>
    <row r="2287" spans="1:12">
      <c r="A2287" s="11" t="s">
        <v>95</v>
      </c>
      <c r="B2287" s="7">
        <f t="shared" si="305"/>
        <v>0</v>
      </c>
      <c r="C2287" s="7">
        <f t="shared" si="306"/>
        <v>0</v>
      </c>
      <c r="D2287" s="7">
        <f t="shared" si="307"/>
        <v>0</v>
      </c>
      <c r="E2287" s="7">
        <f t="shared" si="308"/>
        <v>0</v>
      </c>
      <c r="F2287" s="7">
        <f t="shared" si="309"/>
        <v>0</v>
      </c>
      <c r="G2287" s="5">
        <v>0</v>
      </c>
      <c r="H2287" s="7">
        <f t="shared" si="310"/>
        <v>0</v>
      </c>
      <c r="I2287" s="7">
        <f t="shared" si="311"/>
        <v>0</v>
      </c>
      <c r="J2287" s="7">
        <f t="shared" si="312"/>
        <v>1</v>
      </c>
      <c r="K2287" s="10"/>
    </row>
    <row r="2288" spans="1:12">
      <c r="A2288" s="11" t="s">
        <v>130</v>
      </c>
      <c r="B2288" s="7">
        <f t="shared" si="305"/>
        <v>0</v>
      </c>
      <c r="C2288" s="7">
        <f t="shared" si="306"/>
        <v>0</v>
      </c>
      <c r="D2288" s="7">
        <f t="shared" si="307"/>
        <v>0</v>
      </c>
      <c r="E2288" s="7">
        <f t="shared" si="308"/>
        <v>0</v>
      </c>
      <c r="F2288" s="7">
        <f t="shared" si="309"/>
        <v>0</v>
      </c>
      <c r="G2288" s="5">
        <v>0</v>
      </c>
      <c r="H2288" s="7">
        <f t="shared" si="310"/>
        <v>0</v>
      </c>
      <c r="I2288" s="7">
        <f t="shared" si="311"/>
        <v>0</v>
      </c>
      <c r="J2288" s="7">
        <f t="shared" si="312"/>
        <v>1</v>
      </c>
      <c r="K2288" s="10"/>
    </row>
    <row r="2289" spans="1:11">
      <c r="A2289" s="11" t="s">
        <v>96</v>
      </c>
      <c r="B2289" s="7">
        <f t="shared" si="305"/>
        <v>0</v>
      </c>
      <c r="C2289" s="7">
        <f t="shared" si="306"/>
        <v>0</v>
      </c>
      <c r="D2289" s="7">
        <f t="shared" si="307"/>
        <v>0</v>
      </c>
      <c r="E2289" s="7">
        <f t="shared" si="308"/>
        <v>0</v>
      </c>
      <c r="F2289" s="7">
        <f t="shared" si="309"/>
        <v>0</v>
      </c>
      <c r="G2289" s="5">
        <v>0</v>
      </c>
      <c r="H2289" s="7">
        <f t="shared" si="310"/>
        <v>0</v>
      </c>
      <c r="I2289" s="7">
        <f t="shared" si="311"/>
        <v>0</v>
      </c>
      <c r="J2289" s="7">
        <f t="shared" si="312"/>
        <v>1</v>
      </c>
      <c r="K2289" s="10"/>
    </row>
    <row r="2290" spans="1:11">
      <c r="A2290" s="11" t="s">
        <v>97</v>
      </c>
      <c r="B2290" s="7">
        <f t="shared" si="305"/>
        <v>0</v>
      </c>
      <c r="C2290" s="7">
        <f t="shared" si="306"/>
        <v>0</v>
      </c>
      <c r="D2290" s="7">
        <f t="shared" si="307"/>
        <v>0</v>
      </c>
      <c r="E2290" s="7">
        <f t="shared" si="308"/>
        <v>0</v>
      </c>
      <c r="F2290" s="7">
        <f t="shared" si="309"/>
        <v>0</v>
      </c>
      <c r="G2290" s="5">
        <v>0</v>
      </c>
      <c r="H2290" s="7">
        <f t="shared" si="310"/>
        <v>0</v>
      </c>
      <c r="I2290" s="7">
        <f t="shared" si="311"/>
        <v>1</v>
      </c>
      <c r="J2290" s="7">
        <f t="shared" si="312"/>
        <v>0</v>
      </c>
      <c r="K2290" s="10"/>
    </row>
    <row r="2291" spans="1:11">
      <c r="A2291" s="11" t="s">
        <v>110</v>
      </c>
      <c r="B2291" s="7">
        <f t="shared" si="305"/>
        <v>0</v>
      </c>
      <c r="C2291" s="7">
        <f t="shared" si="306"/>
        <v>0.06</v>
      </c>
      <c r="D2291" s="7">
        <f t="shared" si="307"/>
        <v>0</v>
      </c>
      <c r="E2291" s="7">
        <f t="shared" si="308"/>
        <v>0.2</v>
      </c>
      <c r="F2291" s="7">
        <f t="shared" si="309"/>
        <v>1</v>
      </c>
      <c r="G2291" s="5">
        <v>1</v>
      </c>
      <c r="H2291" s="7">
        <f t="shared" si="310"/>
        <v>1</v>
      </c>
      <c r="I2291" s="7">
        <f t="shared" si="311"/>
        <v>0</v>
      </c>
      <c r="J2291" s="7">
        <f t="shared" si="312"/>
        <v>0</v>
      </c>
      <c r="K2291" s="10"/>
    </row>
    <row r="2292" spans="1:11">
      <c r="A2292" s="11" t="s">
        <v>1647</v>
      </c>
      <c r="B2292" s="7">
        <f t="shared" si="305"/>
        <v>0</v>
      </c>
      <c r="C2292" s="7">
        <f t="shared" si="306"/>
        <v>0</v>
      </c>
      <c r="D2292" s="7">
        <f t="shared" si="307"/>
        <v>0</v>
      </c>
      <c r="E2292" s="7">
        <f t="shared" si="308"/>
        <v>0</v>
      </c>
      <c r="F2292" s="7">
        <f t="shared" si="309"/>
        <v>0</v>
      </c>
      <c r="G2292" s="5">
        <v>0</v>
      </c>
      <c r="H2292" s="7">
        <f t="shared" si="310"/>
        <v>0</v>
      </c>
      <c r="I2292" s="7">
        <f t="shared" si="311"/>
        <v>0</v>
      </c>
      <c r="J2292" s="7">
        <f t="shared" si="312"/>
        <v>1</v>
      </c>
      <c r="K2292" s="10"/>
    </row>
    <row r="2293" spans="1:11">
      <c r="A2293" s="11" t="s">
        <v>1646</v>
      </c>
      <c r="B2293" s="7">
        <f t="shared" si="305"/>
        <v>0</v>
      </c>
      <c r="C2293" s="7">
        <f t="shared" si="306"/>
        <v>0</v>
      </c>
      <c r="D2293" s="7">
        <f t="shared" si="307"/>
        <v>0</v>
      </c>
      <c r="E2293" s="7">
        <f t="shared" si="308"/>
        <v>0</v>
      </c>
      <c r="F2293" s="7">
        <f t="shared" si="309"/>
        <v>0</v>
      </c>
      <c r="G2293" s="5">
        <v>0</v>
      </c>
      <c r="H2293" s="7">
        <f t="shared" si="310"/>
        <v>0</v>
      </c>
      <c r="I2293" s="7">
        <f t="shared" si="311"/>
        <v>0</v>
      </c>
      <c r="J2293" s="7">
        <f t="shared" si="312"/>
        <v>1</v>
      </c>
      <c r="K2293" s="10"/>
    </row>
    <row r="2294" spans="1:11">
      <c r="A2294" s="11" t="s">
        <v>98</v>
      </c>
      <c r="B2294" s="7">
        <f t="shared" si="305"/>
        <v>0</v>
      </c>
      <c r="C2294" s="7">
        <f t="shared" si="306"/>
        <v>0</v>
      </c>
      <c r="D2294" s="7">
        <f t="shared" si="307"/>
        <v>0</v>
      </c>
      <c r="E2294" s="7">
        <f t="shared" si="308"/>
        <v>0</v>
      </c>
      <c r="F2294" s="7">
        <f t="shared" si="309"/>
        <v>0</v>
      </c>
      <c r="G2294" s="5">
        <v>0</v>
      </c>
      <c r="H2294" s="7">
        <f t="shared" si="310"/>
        <v>0.2</v>
      </c>
      <c r="I2294" s="7">
        <f t="shared" si="311"/>
        <v>1</v>
      </c>
      <c r="J2294" s="7">
        <f t="shared" si="312"/>
        <v>1</v>
      </c>
      <c r="K2294" s="10"/>
    </row>
    <row r="2295" spans="1:11">
      <c r="A2295" s="11" t="s">
        <v>99</v>
      </c>
      <c r="B2295" s="7">
        <f t="shared" si="305"/>
        <v>0</v>
      </c>
      <c r="C2295" s="7">
        <f t="shared" si="306"/>
        <v>0</v>
      </c>
      <c r="D2295" s="7">
        <f t="shared" si="307"/>
        <v>0</v>
      </c>
      <c r="E2295" s="7">
        <f t="shared" si="308"/>
        <v>0</v>
      </c>
      <c r="F2295" s="7">
        <f t="shared" si="309"/>
        <v>0</v>
      </c>
      <c r="G2295" s="5">
        <v>0</v>
      </c>
      <c r="H2295" s="7">
        <f t="shared" si="310"/>
        <v>1</v>
      </c>
      <c r="I2295" s="7">
        <f t="shared" si="311"/>
        <v>1</v>
      </c>
      <c r="J2295" s="7">
        <f t="shared" si="312"/>
        <v>0</v>
      </c>
      <c r="K2295" s="10"/>
    </row>
    <row r="2296" spans="1:11">
      <c r="A2296" s="11" t="s">
        <v>111</v>
      </c>
      <c r="B2296" s="7">
        <f t="shared" si="305"/>
        <v>0</v>
      </c>
      <c r="C2296" s="7">
        <f t="shared" si="306"/>
        <v>0.06</v>
      </c>
      <c r="D2296" s="7">
        <f t="shared" si="307"/>
        <v>0</v>
      </c>
      <c r="E2296" s="7">
        <f t="shared" si="308"/>
        <v>0.2</v>
      </c>
      <c r="F2296" s="7">
        <f t="shared" si="309"/>
        <v>1</v>
      </c>
      <c r="G2296" s="5">
        <v>1</v>
      </c>
      <c r="H2296" s="7">
        <f t="shared" si="310"/>
        <v>1</v>
      </c>
      <c r="I2296" s="7">
        <f t="shared" si="311"/>
        <v>0</v>
      </c>
      <c r="J2296" s="7">
        <f t="shared" si="312"/>
        <v>0</v>
      </c>
      <c r="K2296" s="10"/>
    </row>
    <row r="2297" spans="1:11">
      <c r="A2297" s="11" t="s">
        <v>131</v>
      </c>
      <c r="B2297" s="7">
        <f t="shared" si="305"/>
        <v>0</v>
      </c>
      <c r="C2297" s="7">
        <f t="shared" si="306"/>
        <v>0</v>
      </c>
      <c r="D2297" s="7">
        <f t="shared" si="307"/>
        <v>0</v>
      </c>
      <c r="E2297" s="7">
        <f t="shared" si="308"/>
        <v>0</v>
      </c>
      <c r="F2297" s="7">
        <f t="shared" si="309"/>
        <v>0</v>
      </c>
      <c r="G2297" s="5">
        <v>0</v>
      </c>
      <c r="H2297" s="7">
        <f t="shared" si="310"/>
        <v>0</v>
      </c>
      <c r="I2297" s="7">
        <f t="shared" si="311"/>
        <v>0</v>
      </c>
      <c r="J2297" s="7">
        <f t="shared" si="312"/>
        <v>0</v>
      </c>
      <c r="K2297" s="10"/>
    </row>
    <row r="2298" spans="1:11">
      <c r="A2298" s="11" t="s">
        <v>132</v>
      </c>
      <c r="B2298" s="7">
        <f t="shared" si="305"/>
        <v>0</v>
      </c>
      <c r="C2298" s="7">
        <f t="shared" si="306"/>
        <v>0</v>
      </c>
      <c r="D2298" s="7">
        <f t="shared" si="307"/>
        <v>0</v>
      </c>
      <c r="E2298" s="7">
        <f t="shared" si="308"/>
        <v>0</v>
      </c>
      <c r="F2298" s="7">
        <f t="shared" si="309"/>
        <v>0</v>
      </c>
      <c r="G2298" s="5">
        <v>0</v>
      </c>
      <c r="H2298" s="7">
        <f t="shared" si="310"/>
        <v>0</v>
      </c>
      <c r="I2298" s="7">
        <f t="shared" si="311"/>
        <v>0</v>
      </c>
      <c r="J2298" s="7">
        <f t="shared" si="312"/>
        <v>0</v>
      </c>
      <c r="K2298" s="10"/>
    </row>
    <row r="2299" spans="1:11">
      <c r="A2299" s="11" t="s">
        <v>133</v>
      </c>
      <c r="B2299" s="7">
        <f t="shared" si="305"/>
        <v>0</v>
      </c>
      <c r="C2299" s="7">
        <f t="shared" si="306"/>
        <v>0</v>
      </c>
      <c r="D2299" s="7">
        <f t="shared" si="307"/>
        <v>0</v>
      </c>
      <c r="E2299" s="7">
        <f t="shared" si="308"/>
        <v>0</v>
      </c>
      <c r="F2299" s="7">
        <f t="shared" si="309"/>
        <v>0</v>
      </c>
      <c r="G2299" s="5">
        <v>0</v>
      </c>
      <c r="H2299" s="7">
        <f t="shared" si="310"/>
        <v>0</v>
      </c>
      <c r="I2299" s="7">
        <f t="shared" si="311"/>
        <v>0</v>
      </c>
      <c r="J2299" s="7">
        <f t="shared" si="312"/>
        <v>0</v>
      </c>
      <c r="K2299" s="10"/>
    </row>
    <row r="2300" spans="1:11">
      <c r="A2300" s="11" t="s">
        <v>134</v>
      </c>
      <c r="B2300" s="7">
        <f t="shared" si="305"/>
        <v>0</v>
      </c>
      <c r="C2300" s="7">
        <f t="shared" si="306"/>
        <v>0</v>
      </c>
      <c r="D2300" s="7">
        <f t="shared" si="307"/>
        <v>0</v>
      </c>
      <c r="E2300" s="7">
        <f t="shared" si="308"/>
        <v>0</v>
      </c>
      <c r="F2300" s="7">
        <f t="shared" si="309"/>
        <v>0</v>
      </c>
      <c r="G2300" s="5">
        <v>0</v>
      </c>
      <c r="H2300" s="7">
        <f t="shared" si="310"/>
        <v>0</v>
      </c>
      <c r="I2300" s="7">
        <f t="shared" si="311"/>
        <v>0</v>
      </c>
      <c r="J2300" s="7">
        <f t="shared" si="312"/>
        <v>0</v>
      </c>
      <c r="K2300" s="10"/>
    </row>
    <row r="2301" spans="1:11">
      <c r="A2301" s="11" t="s">
        <v>135</v>
      </c>
      <c r="B2301" s="7">
        <f t="shared" si="305"/>
        <v>0</v>
      </c>
      <c r="C2301" s="7">
        <f t="shared" si="306"/>
        <v>0</v>
      </c>
      <c r="D2301" s="7">
        <f t="shared" si="307"/>
        <v>0</v>
      </c>
      <c r="E2301" s="7">
        <f t="shared" si="308"/>
        <v>0</v>
      </c>
      <c r="F2301" s="7">
        <f t="shared" si="309"/>
        <v>0</v>
      </c>
      <c r="G2301" s="5">
        <v>0</v>
      </c>
      <c r="H2301" s="7">
        <f t="shared" si="310"/>
        <v>0</v>
      </c>
      <c r="I2301" s="7">
        <f t="shared" si="311"/>
        <v>0</v>
      </c>
      <c r="J2301" s="7">
        <f t="shared" si="312"/>
        <v>0</v>
      </c>
      <c r="K2301" s="10"/>
    </row>
    <row r="2303" spans="1:11" ht="21" customHeight="1">
      <c r="A2303" s="1" t="s">
        <v>581</v>
      </c>
    </row>
    <row r="2304" spans="1:11">
      <c r="A2304" s="2" t="s">
        <v>255</v>
      </c>
    </row>
    <row r="2305" spans="1:11">
      <c r="A2305" s="12" t="s">
        <v>582</v>
      </c>
    </row>
    <row r="2306" spans="1:11">
      <c r="A2306" s="12" t="s">
        <v>583</v>
      </c>
    </row>
    <row r="2307" spans="1:11">
      <c r="A2307" s="12" t="s">
        <v>584</v>
      </c>
    </row>
    <row r="2308" spans="1:11">
      <c r="A2308" s="12" t="s">
        <v>585</v>
      </c>
    </row>
    <row r="2309" spans="1:11">
      <c r="A2309" s="2" t="s">
        <v>586</v>
      </c>
    </row>
    <row r="2311" spans="1:11">
      <c r="B2311" s="3" t="s">
        <v>60</v>
      </c>
      <c r="C2311" s="3" t="s">
        <v>61</v>
      </c>
      <c r="D2311" s="3" t="s">
        <v>62</v>
      </c>
      <c r="E2311" s="3" t="s">
        <v>63</v>
      </c>
      <c r="F2311" s="3" t="s">
        <v>64</v>
      </c>
      <c r="G2311" s="3" t="s">
        <v>69</v>
      </c>
      <c r="H2311" s="3" t="s">
        <v>65</v>
      </c>
      <c r="I2311" s="3" t="s">
        <v>66</v>
      </c>
      <c r="J2311" s="3" t="s">
        <v>67</v>
      </c>
    </row>
    <row r="2312" spans="1:11">
      <c r="A2312" s="11" t="s">
        <v>98</v>
      </c>
      <c r="B2312" s="15">
        <f t="shared" ref="B2312:J2312" si="313">$F$1181*$E$14*B$2294*B$581</f>
        <v>0</v>
      </c>
      <c r="C2312" s="15">
        <f t="shared" si="313"/>
        <v>0</v>
      </c>
      <c r="D2312" s="15">
        <f t="shared" si="313"/>
        <v>0</v>
      </c>
      <c r="E2312" s="15">
        <f t="shared" si="313"/>
        <v>0</v>
      </c>
      <c r="F2312" s="15">
        <f t="shared" si="313"/>
        <v>0</v>
      </c>
      <c r="G2312" s="15">
        <f t="shared" si="313"/>
        <v>0</v>
      </c>
      <c r="H2312" s="15">
        <f t="shared" si="313"/>
        <v>114712.98742192917</v>
      </c>
      <c r="I2312" s="15">
        <f t="shared" si="313"/>
        <v>562729.73482026241</v>
      </c>
      <c r="J2312" s="15">
        <f t="shared" si="313"/>
        <v>551838.19156567671</v>
      </c>
      <c r="K2312" s="10"/>
    </row>
    <row r="2313" spans="1:11">
      <c r="A2313" s="11" t="s">
        <v>99</v>
      </c>
      <c r="B2313" s="15">
        <f t="shared" ref="B2313:J2313" si="314">$F$1182*$E$14*B$2295*B$582</f>
        <v>0</v>
      </c>
      <c r="C2313" s="15">
        <f t="shared" si="314"/>
        <v>0</v>
      </c>
      <c r="D2313" s="15">
        <f t="shared" si="314"/>
        <v>0</v>
      </c>
      <c r="E2313" s="15">
        <f t="shared" si="314"/>
        <v>0</v>
      </c>
      <c r="F2313" s="15">
        <f t="shared" si="314"/>
        <v>0</v>
      </c>
      <c r="G2313" s="15">
        <f t="shared" si="314"/>
        <v>0</v>
      </c>
      <c r="H2313" s="15">
        <f t="shared" si="314"/>
        <v>6604.8401584364019</v>
      </c>
      <c r="I2313" s="15">
        <f t="shared" si="314"/>
        <v>6480.0682719847373</v>
      </c>
      <c r="J2313" s="15">
        <f t="shared" si="314"/>
        <v>0</v>
      </c>
      <c r="K2313" s="10"/>
    </row>
    <row r="2314" spans="1:11">
      <c r="A2314" s="11" t="s">
        <v>111</v>
      </c>
      <c r="B2314" s="15">
        <f t="shared" ref="B2314:J2314" si="315">$F$1183*$E$14*B$2296*B$583</f>
        <v>0</v>
      </c>
      <c r="C2314" s="15">
        <f t="shared" si="315"/>
        <v>41251.776632437453</v>
      </c>
      <c r="D2314" s="15">
        <f t="shared" si="315"/>
        <v>0</v>
      </c>
      <c r="E2314" s="15">
        <f t="shared" si="315"/>
        <v>94632.727056281961</v>
      </c>
      <c r="F2314" s="15">
        <f t="shared" si="315"/>
        <v>469551.69913422345</v>
      </c>
      <c r="G2314" s="15">
        <f t="shared" si="315"/>
        <v>201236.44248609574</v>
      </c>
      <c r="H2314" s="15">
        <f t="shared" si="315"/>
        <v>665004.93127968989</v>
      </c>
      <c r="I2314" s="15">
        <f t="shared" si="315"/>
        <v>0</v>
      </c>
      <c r="J2314" s="15">
        <f t="shared" si="315"/>
        <v>0</v>
      </c>
      <c r="K2314" s="10"/>
    </row>
    <row r="2316" spans="1:11" ht="21" customHeight="1">
      <c r="A2316" s="1" t="s">
        <v>587</v>
      </c>
    </row>
    <row r="2317" spans="1:11">
      <c r="A2317" s="2" t="s">
        <v>255</v>
      </c>
    </row>
    <row r="2318" spans="1:11">
      <c r="A2318" s="12" t="s">
        <v>474</v>
      </c>
    </row>
    <row r="2319" spans="1:11">
      <c r="A2319" s="12" t="s">
        <v>400</v>
      </c>
    </row>
    <row r="2320" spans="1:11">
      <c r="A2320" s="12" t="s">
        <v>584</v>
      </c>
    </row>
    <row r="2321" spans="1:11">
      <c r="A2321" s="12" t="s">
        <v>585</v>
      </c>
    </row>
    <row r="2322" spans="1:11">
      <c r="A2322" s="12" t="s">
        <v>525</v>
      </c>
    </row>
    <row r="2323" spans="1:11">
      <c r="A2323" s="2" t="s">
        <v>588</v>
      </c>
    </row>
    <row r="2325" spans="1:11">
      <c r="B2325" s="3" t="s">
        <v>60</v>
      </c>
      <c r="C2325" s="3" t="s">
        <v>61</v>
      </c>
      <c r="D2325" s="3" t="s">
        <v>62</v>
      </c>
      <c r="E2325" s="3" t="s">
        <v>63</v>
      </c>
      <c r="F2325" s="3" t="s">
        <v>64</v>
      </c>
      <c r="G2325" s="3" t="s">
        <v>69</v>
      </c>
      <c r="H2325" s="3" t="s">
        <v>65</v>
      </c>
      <c r="I2325" s="3" t="s">
        <v>66</v>
      </c>
      <c r="J2325" s="3" t="s">
        <v>67</v>
      </c>
    </row>
    <row r="2326" spans="1:11">
      <c r="A2326" s="11" t="s">
        <v>92</v>
      </c>
      <c r="B2326" s="15">
        <f t="shared" ref="B2326:J2326" si="316">$B$1316/$C$116*B$2283*B$570/(24*$F$14)*1000</f>
        <v>0</v>
      </c>
      <c r="C2326" s="15">
        <f t="shared" si="316"/>
        <v>0</v>
      </c>
      <c r="D2326" s="15">
        <f t="shared" si="316"/>
        <v>0</v>
      </c>
      <c r="E2326" s="15">
        <f t="shared" si="316"/>
        <v>0</v>
      </c>
      <c r="F2326" s="15">
        <f t="shared" si="316"/>
        <v>0</v>
      </c>
      <c r="G2326" s="15">
        <f t="shared" si="316"/>
        <v>0</v>
      </c>
      <c r="H2326" s="15">
        <f t="shared" si="316"/>
        <v>0</v>
      </c>
      <c r="I2326" s="15">
        <f t="shared" si="316"/>
        <v>0</v>
      </c>
      <c r="J2326" s="15">
        <f t="shared" si="316"/>
        <v>840388.1955544356</v>
      </c>
      <c r="K2326" s="10"/>
    </row>
    <row r="2327" spans="1:11">
      <c r="A2327" s="11" t="s">
        <v>93</v>
      </c>
      <c r="B2327" s="15">
        <f t="shared" ref="B2327:J2327" si="317">$B$1317/$C$117*B$2284*B$571/(24*$F$14)*1000</f>
        <v>0</v>
      </c>
      <c r="C2327" s="15">
        <f t="shared" si="317"/>
        <v>0</v>
      </c>
      <c r="D2327" s="15">
        <f t="shared" si="317"/>
        <v>0</v>
      </c>
      <c r="E2327" s="15">
        <f t="shared" si="317"/>
        <v>0</v>
      </c>
      <c r="F2327" s="15">
        <f t="shared" si="317"/>
        <v>0</v>
      </c>
      <c r="G2327" s="15">
        <f t="shared" si="317"/>
        <v>0</v>
      </c>
      <c r="H2327" s="15">
        <f t="shared" si="317"/>
        <v>0</v>
      </c>
      <c r="I2327" s="15">
        <f t="shared" si="317"/>
        <v>0</v>
      </c>
      <c r="J2327" s="15">
        <f t="shared" si="317"/>
        <v>164143.19695355842</v>
      </c>
      <c r="K2327" s="10"/>
    </row>
    <row r="2328" spans="1:11">
      <c r="A2328" s="11" t="s">
        <v>94</v>
      </c>
      <c r="B2328" s="15">
        <f t="shared" ref="B2328:J2328" si="318">$B$1319/$C$119*B$2286*B$573/(24*$F$14)*1000</f>
        <v>0</v>
      </c>
      <c r="C2328" s="15">
        <f t="shared" si="318"/>
        <v>0</v>
      </c>
      <c r="D2328" s="15">
        <f t="shared" si="318"/>
        <v>0</v>
      </c>
      <c r="E2328" s="15">
        <f t="shared" si="318"/>
        <v>0</v>
      </c>
      <c r="F2328" s="15">
        <f t="shared" si="318"/>
        <v>0</v>
      </c>
      <c r="G2328" s="15">
        <f t="shared" si="318"/>
        <v>0</v>
      </c>
      <c r="H2328" s="15">
        <f t="shared" si="318"/>
        <v>0</v>
      </c>
      <c r="I2328" s="15">
        <f t="shared" si="318"/>
        <v>0</v>
      </c>
      <c r="J2328" s="15">
        <f t="shared" si="318"/>
        <v>228068.67127025506</v>
      </c>
      <c r="K2328" s="10"/>
    </row>
    <row r="2329" spans="1:11">
      <c r="A2329" s="11" t="s">
        <v>95</v>
      </c>
      <c r="B2329" s="15">
        <f t="shared" ref="B2329:J2329" si="319">$B$1320/$C$120*B$2287*B$574/(24*$F$14)*1000</f>
        <v>0</v>
      </c>
      <c r="C2329" s="15">
        <f t="shared" si="319"/>
        <v>0</v>
      </c>
      <c r="D2329" s="15">
        <f t="shared" si="319"/>
        <v>0</v>
      </c>
      <c r="E2329" s="15">
        <f t="shared" si="319"/>
        <v>0</v>
      </c>
      <c r="F2329" s="15">
        <f t="shared" si="319"/>
        <v>0</v>
      </c>
      <c r="G2329" s="15">
        <f t="shared" si="319"/>
        <v>0</v>
      </c>
      <c r="H2329" s="15">
        <f t="shared" si="319"/>
        <v>0</v>
      </c>
      <c r="I2329" s="15">
        <f t="shared" si="319"/>
        <v>0</v>
      </c>
      <c r="J2329" s="15">
        <f t="shared" si="319"/>
        <v>62012.861898553339</v>
      </c>
      <c r="K2329" s="10"/>
    </row>
    <row r="2330" spans="1:11">
      <c r="A2330" s="11" t="s">
        <v>96</v>
      </c>
      <c r="B2330" s="15">
        <f t="shared" ref="B2330:J2330" si="320">$B$1322/$C$122*B$2289*B$576/(24*$F$14)*1000</f>
        <v>0</v>
      </c>
      <c r="C2330" s="15">
        <f t="shared" si="320"/>
        <v>0</v>
      </c>
      <c r="D2330" s="15">
        <f t="shared" si="320"/>
        <v>0</v>
      </c>
      <c r="E2330" s="15">
        <f t="shared" si="320"/>
        <v>0</v>
      </c>
      <c r="F2330" s="15">
        <f t="shared" si="320"/>
        <v>0</v>
      </c>
      <c r="G2330" s="15">
        <f t="shared" si="320"/>
        <v>0</v>
      </c>
      <c r="H2330" s="15">
        <f t="shared" si="320"/>
        <v>0</v>
      </c>
      <c r="I2330" s="15">
        <f t="shared" si="320"/>
        <v>0</v>
      </c>
      <c r="J2330" s="15">
        <f t="shared" si="320"/>
        <v>100858.26431866981</v>
      </c>
      <c r="K2330" s="10"/>
    </row>
    <row r="2331" spans="1:11">
      <c r="A2331" s="11" t="s">
        <v>97</v>
      </c>
      <c r="B2331" s="15">
        <f t="shared" ref="B2331:J2331" si="321">$B$1323/$C$123*B$2290*B$577/(24*$F$14)*1000</f>
        <v>0</v>
      </c>
      <c r="C2331" s="15">
        <f t="shared" si="321"/>
        <v>0</v>
      </c>
      <c r="D2331" s="15">
        <f t="shared" si="321"/>
        <v>0</v>
      </c>
      <c r="E2331" s="15">
        <f t="shared" si="321"/>
        <v>0</v>
      </c>
      <c r="F2331" s="15">
        <f t="shared" si="321"/>
        <v>0</v>
      </c>
      <c r="G2331" s="15">
        <f t="shared" si="321"/>
        <v>0</v>
      </c>
      <c r="H2331" s="15">
        <f t="shared" si="321"/>
        <v>0</v>
      </c>
      <c r="I2331" s="15">
        <f t="shared" si="321"/>
        <v>137.34851444583632</v>
      </c>
      <c r="J2331" s="15">
        <f t="shared" si="321"/>
        <v>0</v>
      </c>
      <c r="K2331" s="10"/>
    </row>
    <row r="2332" spans="1:11">
      <c r="A2332" s="11" t="s">
        <v>110</v>
      </c>
      <c r="B2332" s="15">
        <f t="shared" ref="B2332:J2332" si="322">$B$1324/$C$124*B$2291*B$578/(24*$F$14)*1000</f>
        <v>0</v>
      </c>
      <c r="C2332" s="15">
        <f t="shared" si="322"/>
        <v>17.328500389293527</v>
      </c>
      <c r="D2332" s="15">
        <f t="shared" si="322"/>
        <v>0</v>
      </c>
      <c r="E2332" s="15">
        <f t="shared" si="322"/>
        <v>39.752063583735065</v>
      </c>
      <c r="F2332" s="15">
        <f t="shared" si="322"/>
        <v>197.24306358341829</v>
      </c>
      <c r="G2332" s="15">
        <f t="shared" si="322"/>
        <v>84.532741535750674</v>
      </c>
      <c r="H2332" s="15">
        <f t="shared" si="322"/>
        <v>279.34647065602832</v>
      </c>
      <c r="I2332" s="15">
        <f t="shared" si="322"/>
        <v>0</v>
      </c>
      <c r="J2332" s="15">
        <f t="shared" si="322"/>
        <v>0</v>
      </c>
      <c r="K2332" s="10"/>
    </row>
    <row r="2333" spans="1:11">
      <c r="A2333" s="11" t="s">
        <v>1647</v>
      </c>
      <c r="B2333" s="15">
        <f t="shared" ref="B2333:J2333" si="323">$B$1325/$C$125*B$2292*B$579/(24*$F$14)*1000</f>
        <v>0</v>
      </c>
      <c r="C2333" s="15">
        <f t="shared" si="323"/>
        <v>0</v>
      </c>
      <c r="D2333" s="15">
        <f t="shared" si="323"/>
        <v>0</v>
      </c>
      <c r="E2333" s="15">
        <f t="shared" si="323"/>
        <v>0</v>
      </c>
      <c r="F2333" s="15">
        <f t="shared" si="323"/>
        <v>0</v>
      </c>
      <c r="G2333" s="15">
        <f t="shared" si="323"/>
        <v>0</v>
      </c>
      <c r="H2333" s="15">
        <f t="shared" si="323"/>
        <v>0</v>
      </c>
      <c r="I2333" s="15">
        <f t="shared" si="323"/>
        <v>0</v>
      </c>
      <c r="J2333" s="15">
        <f t="shared" si="323"/>
        <v>0</v>
      </c>
      <c r="K2333" s="10"/>
    </row>
    <row r="2334" spans="1:11">
      <c r="A2334" s="11" t="s">
        <v>1646</v>
      </c>
      <c r="B2334" s="15">
        <f t="shared" ref="B2334:J2334" si="324">$B$1326/$C$126*B$2293*B$580/(24*$F$14)*1000</f>
        <v>0</v>
      </c>
      <c r="C2334" s="15">
        <f t="shared" si="324"/>
        <v>0</v>
      </c>
      <c r="D2334" s="15">
        <f t="shared" si="324"/>
        <v>0</v>
      </c>
      <c r="E2334" s="15">
        <f t="shared" si="324"/>
        <v>0</v>
      </c>
      <c r="F2334" s="15">
        <f t="shared" si="324"/>
        <v>0</v>
      </c>
      <c r="G2334" s="15">
        <f t="shared" si="324"/>
        <v>0</v>
      </c>
      <c r="H2334" s="15">
        <f t="shared" si="324"/>
        <v>0</v>
      </c>
      <c r="I2334" s="15">
        <f t="shared" si="324"/>
        <v>0</v>
      </c>
      <c r="J2334" s="15">
        <f t="shared" si="324"/>
        <v>0</v>
      </c>
      <c r="K2334" s="10"/>
    </row>
    <row r="2336" spans="1:11" ht="21" customHeight="1">
      <c r="A2336" s="1" t="s">
        <v>589</v>
      </c>
    </row>
    <row r="2337" spans="1:11">
      <c r="A2337" s="2" t="s">
        <v>255</v>
      </c>
    </row>
    <row r="2338" spans="1:11">
      <c r="A2338" s="12" t="s">
        <v>590</v>
      </c>
    </row>
    <row r="2339" spans="1:11">
      <c r="A2339" s="12" t="s">
        <v>591</v>
      </c>
    </row>
    <row r="2340" spans="1:11">
      <c r="A2340" s="2" t="s">
        <v>273</v>
      </c>
    </row>
    <row r="2342" spans="1:11">
      <c r="B2342" s="3" t="s">
        <v>60</v>
      </c>
      <c r="C2342" s="3" t="s">
        <v>61</v>
      </c>
      <c r="D2342" s="3" t="s">
        <v>62</v>
      </c>
      <c r="E2342" s="3" t="s">
        <v>63</v>
      </c>
      <c r="F2342" s="3" t="s">
        <v>64</v>
      </c>
      <c r="G2342" s="3" t="s">
        <v>69</v>
      </c>
      <c r="H2342" s="3" t="s">
        <v>65</v>
      </c>
      <c r="I2342" s="3" t="s">
        <v>66</v>
      </c>
      <c r="J2342" s="3" t="s">
        <v>67</v>
      </c>
    </row>
    <row r="2343" spans="1:11">
      <c r="A2343" s="11" t="s">
        <v>92</v>
      </c>
      <c r="B2343" s="28">
        <f t="shared" ref="B2343:J2343" si="325">B$2326</f>
        <v>0</v>
      </c>
      <c r="C2343" s="28">
        <f t="shared" si="325"/>
        <v>0</v>
      </c>
      <c r="D2343" s="28">
        <f t="shared" si="325"/>
        <v>0</v>
      </c>
      <c r="E2343" s="28">
        <f t="shared" si="325"/>
        <v>0</v>
      </c>
      <c r="F2343" s="28">
        <f t="shared" si="325"/>
        <v>0</v>
      </c>
      <c r="G2343" s="28">
        <f t="shared" si="325"/>
        <v>0</v>
      </c>
      <c r="H2343" s="28">
        <f t="shared" si="325"/>
        <v>0</v>
      </c>
      <c r="I2343" s="28">
        <f t="shared" si="325"/>
        <v>0</v>
      </c>
      <c r="J2343" s="28">
        <f t="shared" si="325"/>
        <v>840388.1955544356</v>
      </c>
      <c r="K2343" s="10"/>
    </row>
    <row r="2344" spans="1:11">
      <c r="A2344" s="11" t="s">
        <v>93</v>
      </c>
      <c r="B2344" s="28">
        <f t="shared" ref="B2344:J2344" si="326">B$2327</f>
        <v>0</v>
      </c>
      <c r="C2344" s="28">
        <f t="shared" si="326"/>
        <v>0</v>
      </c>
      <c r="D2344" s="28">
        <f t="shared" si="326"/>
        <v>0</v>
      </c>
      <c r="E2344" s="28">
        <f t="shared" si="326"/>
        <v>0</v>
      </c>
      <c r="F2344" s="28">
        <f t="shared" si="326"/>
        <v>0</v>
      </c>
      <c r="G2344" s="28">
        <f t="shared" si="326"/>
        <v>0</v>
      </c>
      <c r="H2344" s="28">
        <f t="shared" si="326"/>
        <v>0</v>
      </c>
      <c r="I2344" s="28">
        <f t="shared" si="326"/>
        <v>0</v>
      </c>
      <c r="J2344" s="28">
        <f t="shared" si="326"/>
        <v>164143.19695355842</v>
      </c>
      <c r="K2344" s="10"/>
    </row>
    <row r="2345" spans="1:11">
      <c r="A2345" s="11" t="s">
        <v>94</v>
      </c>
      <c r="B2345" s="28">
        <f t="shared" ref="B2345:J2345" si="327">B$2328</f>
        <v>0</v>
      </c>
      <c r="C2345" s="28">
        <f t="shared" si="327"/>
        <v>0</v>
      </c>
      <c r="D2345" s="28">
        <f t="shared" si="327"/>
        <v>0</v>
      </c>
      <c r="E2345" s="28">
        <f t="shared" si="327"/>
        <v>0</v>
      </c>
      <c r="F2345" s="28">
        <f t="shared" si="327"/>
        <v>0</v>
      </c>
      <c r="G2345" s="28">
        <f t="shared" si="327"/>
        <v>0</v>
      </c>
      <c r="H2345" s="28">
        <f t="shared" si="327"/>
        <v>0</v>
      </c>
      <c r="I2345" s="28">
        <f t="shared" si="327"/>
        <v>0</v>
      </c>
      <c r="J2345" s="28">
        <f t="shared" si="327"/>
        <v>228068.67127025506</v>
      </c>
      <c r="K2345" s="10"/>
    </row>
    <row r="2346" spans="1:11">
      <c r="A2346" s="11" t="s">
        <v>95</v>
      </c>
      <c r="B2346" s="28">
        <f t="shared" ref="B2346:J2346" si="328">B$2329</f>
        <v>0</v>
      </c>
      <c r="C2346" s="28">
        <f t="shared" si="328"/>
        <v>0</v>
      </c>
      <c r="D2346" s="28">
        <f t="shared" si="328"/>
        <v>0</v>
      </c>
      <c r="E2346" s="28">
        <f t="shared" si="328"/>
        <v>0</v>
      </c>
      <c r="F2346" s="28">
        <f t="shared" si="328"/>
        <v>0</v>
      </c>
      <c r="G2346" s="28">
        <f t="shared" si="328"/>
        <v>0</v>
      </c>
      <c r="H2346" s="28">
        <f t="shared" si="328"/>
        <v>0</v>
      </c>
      <c r="I2346" s="28">
        <f t="shared" si="328"/>
        <v>0</v>
      </c>
      <c r="J2346" s="28">
        <f t="shared" si="328"/>
        <v>62012.861898553339</v>
      </c>
      <c r="K2346" s="10"/>
    </row>
    <row r="2347" spans="1:11">
      <c r="A2347" s="11" t="s">
        <v>96</v>
      </c>
      <c r="B2347" s="28">
        <f t="shared" ref="B2347:J2347" si="329">B$2330</f>
        <v>0</v>
      </c>
      <c r="C2347" s="28">
        <f t="shared" si="329"/>
        <v>0</v>
      </c>
      <c r="D2347" s="28">
        <f t="shared" si="329"/>
        <v>0</v>
      </c>
      <c r="E2347" s="28">
        <f t="shared" si="329"/>
        <v>0</v>
      </c>
      <c r="F2347" s="28">
        <f t="shared" si="329"/>
        <v>0</v>
      </c>
      <c r="G2347" s="28">
        <f t="shared" si="329"/>
        <v>0</v>
      </c>
      <c r="H2347" s="28">
        <f t="shared" si="329"/>
        <v>0</v>
      </c>
      <c r="I2347" s="28">
        <f t="shared" si="329"/>
        <v>0</v>
      </c>
      <c r="J2347" s="28">
        <f t="shared" si="329"/>
        <v>100858.26431866981</v>
      </c>
      <c r="K2347" s="10"/>
    </row>
    <row r="2348" spans="1:11">
      <c r="A2348" s="11" t="s">
        <v>97</v>
      </c>
      <c r="B2348" s="28">
        <f t="shared" ref="B2348:J2348" si="330">B$2331</f>
        <v>0</v>
      </c>
      <c r="C2348" s="28">
        <f t="shared" si="330"/>
        <v>0</v>
      </c>
      <c r="D2348" s="28">
        <f t="shared" si="330"/>
        <v>0</v>
      </c>
      <c r="E2348" s="28">
        <f t="shared" si="330"/>
        <v>0</v>
      </c>
      <c r="F2348" s="28">
        <f t="shared" si="330"/>
        <v>0</v>
      </c>
      <c r="G2348" s="28">
        <f t="shared" si="330"/>
        <v>0</v>
      </c>
      <c r="H2348" s="28">
        <f t="shared" si="330"/>
        <v>0</v>
      </c>
      <c r="I2348" s="28">
        <f t="shared" si="330"/>
        <v>137.34851444583632</v>
      </c>
      <c r="J2348" s="28">
        <f t="shared" si="330"/>
        <v>0</v>
      </c>
      <c r="K2348" s="10"/>
    </row>
    <row r="2349" spans="1:11">
      <c r="A2349" s="11" t="s">
        <v>110</v>
      </c>
      <c r="B2349" s="28">
        <f t="shared" ref="B2349:J2349" si="331">B$2332</f>
        <v>0</v>
      </c>
      <c r="C2349" s="28">
        <f t="shared" si="331"/>
        <v>17.328500389293527</v>
      </c>
      <c r="D2349" s="28">
        <f t="shared" si="331"/>
        <v>0</v>
      </c>
      <c r="E2349" s="28">
        <f t="shared" si="331"/>
        <v>39.752063583735065</v>
      </c>
      <c r="F2349" s="28">
        <f t="shared" si="331"/>
        <v>197.24306358341829</v>
      </c>
      <c r="G2349" s="28">
        <f t="shared" si="331"/>
        <v>84.532741535750674</v>
      </c>
      <c r="H2349" s="28">
        <f t="shared" si="331"/>
        <v>279.34647065602832</v>
      </c>
      <c r="I2349" s="28">
        <f t="shared" si="331"/>
        <v>0</v>
      </c>
      <c r="J2349" s="28">
        <f t="shared" si="331"/>
        <v>0</v>
      </c>
      <c r="K2349" s="10"/>
    </row>
    <row r="2350" spans="1:11">
      <c r="A2350" s="11" t="s">
        <v>1647</v>
      </c>
      <c r="B2350" s="28">
        <f t="shared" ref="B2350:J2350" si="332">B$2333</f>
        <v>0</v>
      </c>
      <c r="C2350" s="28">
        <f t="shared" si="332"/>
        <v>0</v>
      </c>
      <c r="D2350" s="28">
        <f t="shared" si="332"/>
        <v>0</v>
      </c>
      <c r="E2350" s="28">
        <f t="shared" si="332"/>
        <v>0</v>
      </c>
      <c r="F2350" s="28">
        <f t="shared" si="332"/>
        <v>0</v>
      </c>
      <c r="G2350" s="28">
        <f t="shared" si="332"/>
        <v>0</v>
      </c>
      <c r="H2350" s="28">
        <f t="shared" si="332"/>
        <v>0</v>
      </c>
      <c r="I2350" s="28">
        <f t="shared" si="332"/>
        <v>0</v>
      </c>
      <c r="J2350" s="28">
        <f t="shared" si="332"/>
        <v>0</v>
      </c>
      <c r="K2350" s="10"/>
    </row>
    <row r="2351" spans="1:11">
      <c r="A2351" s="11" t="s">
        <v>1646</v>
      </c>
      <c r="B2351" s="28">
        <f t="shared" ref="B2351:J2351" si="333">B$2334</f>
        <v>0</v>
      </c>
      <c r="C2351" s="28">
        <f t="shared" si="333"/>
        <v>0</v>
      </c>
      <c r="D2351" s="28">
        <f t="shared" si="333"/>
        <v>0</v>
      </c>
      <c r="E2351" s="28">
        <f t="shared" si="333"/>
        <v>0</v>
      </c>
      <c r="F2351" s="28">
        <f t="shared" si="333"/>
        <v>0</v>
      </c>
      <c r="G2351" s="28">
        <f t="shared" si="333"/>
        <v>0</v>
      </c>
      <c r="H2351" s="28">
        <f t="shared" si="333"/>
        <v>0</v>
      </c>
      <c r="I2351" s="28">
        <f t="shared" si="333"/>
        <v>0</v>
      </c>
      <c r="J2351" s="28">
        <f t="shared" si="333"/>
        <v>0</v>
      </c>
      <c r="K2351" s="10"/>
    </row>
    <row r="2352" spans="1:11">
      <c r="A2352" s="11" t="s">
        <v>98</v>
      </c>
      <c r="B2352" s="28">
        <f t="shared" ref="B2352:J2352" si="334">B$2312</f>
        <v>0</v>
      </c>
      <c r="C2352" s="28">
        <f t="shared" si="334"/>
        <v>0</v>
      </c>
      <c r="D2352" s="28">
        <f t="shared" si="334"/>
        <v>0</v>
      </c>
      <c r="E2352" s="28">
        <f t="shared" si="334"/>
        <v>0</v>
      </c>
      <c r="F2352" s="28">
        <f t="shared" si="334"/>
        <v>0</v>
      </c>
      <c r="G2352" s="28">
        <f t="shared" si="334"/>
        <v>0</v>
      </c>
      <c r="H2352" s="28">
        <f t="shared" si="334"/>
        <v>114712.98742192917</v>
      </c>
      <c r="I2352" s="28">
        <f t="shared" si="334"/>
        <v>562729.73482026241</v>
      </c>
      <c r="J2352" s="28">
        <f t="shared" si="334"/>
        <v>551838.19156567671</v>
      </c>
      <c r="K2352" s="10"/>
    </row>
    <row r="2353" spans="1:11">
      <c r="A2353" s="11" t="s">
        <v>99</v>
      </c>
      <c r="B2353" s="28">
        <f t="shared" ref="B2353:J2353" si="335">B$2313</f>
        <v>0</v>
      </c>
      <c r="C2353" s="28">
        <f t="shared" si="335"/>
        <v>0</v>
      </c>
      <c r="D2353" s="28">
        <f t="shared" si="335"/>
        <v>0</v>
      </c>
      <c r="E2353" s="28">
        <f t="shared" si="335"/>
        <v>0</v>
      </c>
      <c r="F2353" s="28">
        <f t="shared" si="335"/>
        <v>0</v>
      </c>
      <c r="G2353" s="28">
        <f t="shared" si="335"/>
        <v>0</v>
      </c>
      <c r="H2353" s="28">
        <f t="shared" si="335"/>
        <v>6604.8401584364019</v>
      </c>
      <c r="I2353" s="28">
        <f t="shared" si="335"/>
        <v>6480.0682719847373</v>
      </c>
      <c r="J2353" s="28">
        <f t="shared" si="335"/>
        <v>0</v>
      </c>
      <c r="K2353" s="10"/>
    </row>
    <row r="2354" spans="1:11">
      <c r="A2354" s="11" t="s">
        <v>111</v>
      </c>
      <c r="B2354" s="28">
        <f t="shared" ref="B2354:J2354" si="336">B$2314</f>
        <v>0</v>
      </c>
      <c r="C2354" s="28">
        <f t="shared" si="336"/>
        <v>41251.776632437453</v>
      </c>
      <c r="D2354" s="28">
        <f t="shared" si="336"/>
        <v>0</v>
      </c>
      <c r="E2354" s="28">
        <f t="shared" si="336"/>
        <v>94632.727056281961</v>
      </c>
      <c r="F2354" s="28">
        <f t="shared" si="336"/>
        <v>469551.69913422345</v>
      </c>
      <c r="G2354" s="28">
        <f t="shared" si="336"/>
        <v>201236.44248609574</v>
      </c>
      <c r="H2354" s="28">
        <f t="shared" si="336"/>
        <v>665004.93127968989</v>
      </c>
      <c r="I2354" s="28">
        <f t="shared" si="336"/>
        <v>0</v>
      </c>
      <c r="J2354" s="28">
        <f t="shared" si="336"/>
        <v>0</v>
      </c>
      <c r="K2354" s="10"/>
    </row>
    <row r="2355" spans="1:11">
      <c r="A2355" s="11" t="s">
        <v>131</v>
      </c>
      <c r="B2355" s="9"/>
      <c r="C2355" s="9"/>
      <c r="D2355" s="9"/>
      <c r="E2355" s="9"/>
      <c r="F2355" s="9"/>
      <c r="G2355" s="9"/>
      <c r="H2355" s="9"/>
      <c r="I2355" s="9"/>
      <c r="J2355" s="9"/>
      <c r="K2355" s="10"/>
    </row>
    <row r="2356" spans="1:11">
      <c r="A2356" s="11" t="s">
        <v>132</v>
      </c>
      <c r="B2356" s="9"/>
      <c r="C2356" s="9"/>
      <c r="D2356" s="9"/>
      <c r="E2356" s="9"/>
      <c r="F2356" s="9"/>
      <c r="G2356" s="9"/>
      <c r="H2356" s="9"/>
      <c r="I2356" s="9"/>
      <c r="J2356" s="9"/>
      <c r="K2356" s="10"/>
    </row>
    <row r="2357" spans="1:11">
      <c r="A2357" s="11" t="s">
        <v>133</v>
      </c>
      <c r="B2357" s="9"/>
      <c r="C2357" s="9"/>
      <c r="D2357" s="9"/>
      <c r="E2357" s="9"/>
      <c r="F2357" s="9"/>
      <c r="G2357" s="9"/>
      <c r="H2357" s="9"/>
      <c r="I2357" s="9"/>
      <c r="J2357" s="9"/>
      <c r="K2357" s="10"/>
    </row>
    <row r="2358" spans="1:11">
      <c r="A2358" s="11" t="s">
        <v>134</v>
      </c>
      <c r="B2358" s="9"/>
      <c r="C2358" s="9"/>
      <c r="D2358" s="9"/>
      <c r="E2358" s="9"/>
      <c r="F2358" s="9"/>
      <c r="G2358" s="9"/>
      <c r="H2358" s="9"/>
      <c r="I2358" s="9"/>
      <c r="J2358" s="9"/>
      <c r="K2358" s="10"/>
    </row>
    <row r="2359" spans="1:11">
      <c r="A2359" s="11" t="s">
        <v>135</v>
      </c>
      <c r="B2359" s="9"/>
      <c r="C2359" s="9"/>
      <c r="D2359" s="9"/>
      <c r="E2359" s="9"/>
      <c r="F2359" s="9"/>
      <c r="G2359" s="9"/>
      <c r="H2359" s="9"/>
      <c r="I2359" s="9"/>
      <c r="J2359" s="9"/>
      <c r="K2359" s="10"/>
    </row>
    <row r="2361" spans="1:11" ht="21" customHeight="1">
      <c r="A2361" s="1" t="s">
        <v>592</v>
      </c>
    </row>
    <row r="2362" spans="1:11">
      <c r="A2362" s="2" t="s">
        <v>255</v>
      </c>
    </row>
    <row r="2363" spans="1:11">
      <c r="A2363" s="12" t="s">
        <v>593</v>
      </c>
    </row>
    <row r="2364" spans="1:11">
      <c r="A2364" s="2" t="s">
        <v>567</v>
      </c>
    </row>
    <row r="2366" spans="1:11">
      <c r="B2366" s="3" t="s">
        <v>60</v>
      </c>
      <c r="C2366" s="3" t="s">
        <v>61</v>
      </c>
      <c r="D2366" s="3" t="s">
        <v>62</v>
      </c>
      <c r="E2366" s="3" t="s">
        <v>63</v>
      </c>
      <c r="F2366" s="3" t="s">
        <v>64</v>
      </c>
      <c r="G2366" s="3" t="s">
        <v>69</v>
      </c>
      <c r="H2366" s="3" t="s">
        <v>65</v>
      </c>
      <c r="I2366" s="3" t="s">
        <v>66</v>
      </c>
      <c r="J2366" s="3" t="s">
        <v>67</v>
      </c>
    </row>
    <row r="2367" spans="1:11">
      <c r="A2367" s="11" t="s">
        <v>594</v>
      </c>
      <c r="B2367" s="15">
        <f t="shared" ref="B2367:J2367" si="337">SUM(B$2343:B$2359)</f>
        <v>0</v>
      </c>
      <c r="C2367" s="15">
        <f t="shared" si="337"/>
        <v>41269.105132826749</v>
      </c>
      <c r="D2367" s="15">
        <f t="shared" si="337"/>
        <v>0</v>
      </c>
      <c r="E2367" s="15">
        <f t="shared" si="337"/>
        <v>94672.479119865689</v>
      </c>
      <c r="F2367" s="15">
        <f t="shared" si="337"/>
        <v>469748.9421978069</v>
      </c>
      <c r="G2367" s="15">
        <f t="shared" si="337"/>
        <v>201320.97522763148</v>
      </c>
      <c r="H2367" s="15">
        <f t="shared" si="337"/>
        <v>786602.10533071146</v>
      </c>
      <c r="I2367" s="15">
        <f t="shared" si="337"/>
        <v>569347.15160669293</v>
      </c>
      <c r="J2367" s="15">
        <f t="shared" si="337"/>
        <v>1947309.3815611489</v>
      </c>
      <c r="K2367" s="10"/>
    </row>
    <row r="2369" spans="1:11" ht="21" customHeight="1">
      <c r="A2369" s="1" t="s">
        <v>595</v>
      </c>
    </row>
    <row r="2370" spans="1:11">
      <c r="A2370" s="2" t="s">
        <v>255</v>
      </c>
    </row>
    <row r="2371" spans="1:11">
      <c r="A2371" s="12" t="s">
        <v>566</v>
      </c>
    </row>
    <row r="2372" spans="1:11">
      <c r="A2372" s="12" t="s">
        <v>596</v>
      </c>
    </row>
    <row r="2373" spans="1:11">
      <c r="A2373" s="2" t="s">
        <v>597</v>
      </c>
    </row>
    <row r="2375" spans="1:11">
      <c r="B2375" s="3" t="s">
        <v>60</v>
      </c>
      <c r="C2375" s="3" t="s">
        <v>61</v>
      </c>
      <c r="D2375" s="3" t="s">
        <v>62</v>
      </c>
      <c r="E2375" s="3" t="s">
        <v>63</v>
      </c>
      <c r="F2375" s="3" t="s">
        <v>64</v>
      </c>
      <c r="G2375" s="3" t="s">
        <v>69</v>
      </c>
      <c r="H2375" s="3" t="s">
        <v>65</v>
      </c>
      <c r="I2375" s="3" t="s">
        <v>66</v>
      </c>
      <c r="J2375" s="3" t="s">
        <v>67</v>
      </c>
    </row>
    <row r="2376" spans="1:11">
      <c r="A2376" s="11" t="s">
        <v>92</v>
      </c>
      <c r="B2376" s="6">
        <f t="shared" ref="B2376:J2376" si="338">B$2207*B2283</f>
        <v>0</v>
      </c>
      <c r="C2376" s="6">
        <f t="shared" si="338"/>
        <v>0</v>
      </c>
      <c r="D2376" s="6">
        <f t="shared" si="338"/>
        <v>0</v>
      </c>
      <c r="E2376" s="6">
        <f t="shared" si="338"/>
        <v>0</v>
      </c>
      <c r="F2376" s="6">
        <f t="shared" si="338"/>
        <v>0</v>
      </c>
      <c r="G2376" s="6">
        <f t="shared" si="338"/>
        <v>0</v>
      </c>
      <c r="H2376" s="6">
        <f t="shared" si="338"/>
        <v>0</v>
      </c>
      <c r="I2376" s="6">
        <f t="shared" si="338"/>
        <v>0</v>
      </c>
      <c r="J2376" s="6">
        <f t="shared" si="338"/>
        <v>720712.84929314244</v>
      </c>
      <c r="K2376" s="10"/>
    </row>
    <row r="2377" spans="1:11">
      <c r="A2377" s="11" t="s">
        <v>93</v>
      </c>
      <c r="B2377" s="6">
        <f t="shared" ref="B2377:J2377" si="339">B$2208*B2284</f>
        <v>0</v>
      </c>
      <c r="C2377" s="6">
        <f t="shared" si="339"/>
        <v>0</v>
      </c>
      <c r="D2377" s="6">
        <f t="shared" si="339"/>
        <v>0</v>
      </c>
      <c r="E2377" s="6">
        <f t="shared" si="339"/>
        <v>0</v>
      </c>
      <c r="F2377" s="6">
        <f t="shared" si="339"/>
        <v>0</v>
      </c>
      <c r="G2377" s="6">
        <f t="shared" si="339"/>
        <v>0</v>
      </c>
      <c r="H2377" s="6">
        <f t="shared" si="339"/>
        <v>0</v>
      </c>
      <c r="I2377" s="6">
        <f t="shared" si="339"/>
        <v>0</v>
      </c>
      <c r="J2377" s="6">
        <f t="shared" si="339"/>
        <v>45135.51571850101</v>
      </c>
      <c r="K2377" s="10"/>
    </row>
    <row r="2378" spans="1:11">
      <c r="A2378" s="11" t="s">
        <v>129</v>
      </c>
      <c r="B2378" s="6">
        <f t="shared" ref="B2378:J2378" si="340">B$2209*B2285</f>
        <v>0</v>
      </c>
      <c r="C2378" s="6">
        <f t="shared" si="340"/>
        <v>0</v>
      </c>
      <c r="D2378" s="6">
        <f t="shared" si="340"/>
        <v>0</v>
      </c>
      <c r="E2378" s="6">
        <f t="shared" si="340"/>
        <v>0</v>
      </c>
      <c r="F2378" s="6">
        <f t="shared" si="340"/>
        <v>0</v>
      </c>
      <c r="G2378" s="6">
        <f t="shared" si="340"/>
        <v>0</v>
      </c>
      <c r="H2378" s="6">
        <f t="shared" si="340"/>
        <v>0</v>
      </c>
      <c r="I2378" s="6">
        <f t="shared" si="340"/>
        <v>0</v>
      </c>
      <c r="J2378" s="6">
        <f t="shared" si="340"/>
        <v>98.688806249224029</v>
      </c>
      <c r="K2378" s="10"/>
    </row>
    <row r="2379" spans="1:11">
      <c r="A2379" s="11" t="s">
        <v>94</v>
      </c>
      <c r="B2379" s="6">
        <f t="shared" ref="B2379:J2379" si="341">B$2210*B2286</f>
        <v>0</v>
      </c>
      <c r="C2379" s="6">
        <f t="shared" si="341"/>
        <v>0</v>
      </c>
      <c r="D2379" s="6">
        <f t="shared" si="341"/>
        <v>0</v>
      </c>
      <c r="E2379" s="6">
        <f t="shared" si="341"/>
        <v>0</v>
      </c>
      <c r="F2379" s="6">
        <f t="shared" si="341"/>
        <v>0</v>
      </c>
      <c r="G2379" s="6">
        <f t="shared" si="341"/>
        <v>0</v>
      </c>
      <c r="H2379" s="6">
        <f t="shared" si="341"/>
        <v>0</v>
      </c>
      <c r="I2379" s="6">
        <f t="shared" si="341"/>
        <v>0</v>
      </c>
      <c r="J2379" s="6">
        <f t="shared" si="341"/>
        <v>143827.17232264145</v>
      </c>
      <c r="K2379" s="10"/>
    </row>
    <row r="2380" spans="1:11">
      <c r="A2380" s="11" t="s">
        <v>95</v>
      </c>
      <c r="B2380" s="6">
        <f t="shared" ref="B2380:J2380" si="342">B$2211*B2287</f>
        <v>0</v>
      </c>
      <c r="C2380" s="6">
        <f t="shared" si="342"/>
        <v>0</v>
      </c>
      <c r="D2380" s="6">
        <f t="shared" si="342"/>
        <v>0</v>
      </c>
      <c r="E2380" s="6">
        <f t="shared" si="342"/>
        <v>0</v>
      </c>
      <c r="F2380" s="6">
        <f t="shared" si="342"/>
        <v>0</v>
      </c>
      <c r="G2380" s="6">
        <f t="shared" si="342"/>
        <v>0</v>
      </c>
      <c r="H2380" s="6">
        <f t="shared" si="342"/>
        <v>0</v>
      </c>
      <c r="I2380" s="6">
        <f t="shared" si="342"/>
        <v>0</v>
      </c>
      <c r="J2380" s="6">
        <f t="shared" si="342"/>
        <v>48587.059378856669</v>
      </c>
      <c r="K2380" s="10"/>
    </row>
    <row r="2381" spans="1:11">
      <c r="A2381" s="11" t="s">
        <v>130</v>
      </c>
      <c r="B2381" s="6">
        <f t="shared" ref="B2381:J2381" si="343">B$2212*B2288</f>
        <v>0</v>
      </c>
      <c r="C2381" s="6">
        <f t="shared" si="343"/>
        <v>0</v>
      </c>
      <c r="D2381" s="6">
        <f t="shared" si="343"/>
        <v>0</v>
      </c>
      <c r="E2381" s="6">
        <f t="shared" si="343"/>
        <v>0</v>
      </c>
      <c r="F2381" s="6">
        <f t="shared" si="343"/>
        <v>0</v>
      </c>
      <c r="G2381" s="6">
        <f t="shared" si="343"/>
        <v>0</v>
      </c>
      <c r="H2381" s="6">
        <f t="shared" si="343"/>
        <v>0</v>
      </c>
      <c r="I2381" s="6">
        <f t="shared" si="343"/>
        <v>0</v>
      </c>
      <c r="J2381" s="6">
        <f t="shared" si="343"/>
        <v>63.60682950505889</v>
      </c>
      <c r="K2381" s="10"/>
    </row>
    <row r="2382" spans="1:11">
      <c r="A2382" s="11" t="s">
        <v>96</v>
      </c>
      <c r="B2382" s="6">
        <f t="shared" ref="B2382:J2382" si="344">B$2213*B2289</f>
        <v>0</v>
      </c>
      <c r="C2382" s="6">
        <f t="shared" si="344"/>
        <v>0</v>
      </c>
      <c r="D2382" s="6">
        <f t="shared" si="344"/>
        <v>0</v>
      </c>
      <c r="E2382" s="6">
        <f t="shared" si="344"/>
        <v>0</v>
      </c>
      <c r="F2382" s="6">
        <f t="shared" si="344"/>
        <v>0</v>
      </c>
      <c r="G2382" s="6">
        <f t="shared" si="344"/>
        <v>0</v>
      </c>
      <c r="H2382" s="6">
        <f t="shared" si="344"/>
        <v>0</v>
      </c>
      <c r="I2382" s="6">
        <f t="shared" si="344"/>
        <v>0</v>
      </c>
      <c r="J2382" s="6">
        <f t="shared" si="344"/>
        <v>80725.537564204758</v>
      </c>
      <c r="K2382" s="10"/>
    </row>
    <row r="2383" spans="1:11">
      <c r="A2383" s="11" t="s">
        <v>97</v>
      </c>
      <c r="B2383" s="6">
        <f t="shared" ref="B2383:J2383" si="345">B$2214*B2290</f>
        <v>0</v>
      </c>
      <c r="C2383" s="6">
        <f t="shared" si="345"/>
        <v>0</v>
      </c>
      <c r="D2383" s="6">
        <f t="shared" si="345"/>
        <v>0</v>
      </c>
      <c r="E2383" s="6">
        <f t="shared" si="345"/>
        <v>0</v>
      </c>
      <c r="F2383" s="6">
        <f t="shared" si="345"/>
        <v>0</v>
      </c>
      <c r="G2383" s="6">
        <f t="shared" si="345"/>
        <v>0</v>
      </c>
      <c r="H2383" s="6">
        <f t="shared" si="345"/>
        <v>0</v>
      </c>
      <c r="I2383" s="6">
        <f t="shared" si="345"/>
        <v>111.26836933816513</v>
      </c>
      <c r="J2383" s="6">
        <f t="shared" si="345"/>
        <v>0</v>
      </c>
      <c r="K2383" s="10"/>
    </row>
    <row r="2384" spans="1:11">
      <c r="A2384" s="11" t="s">
        <v>110</v>
      </c>
      <c r="B2384" s="6">
        <f t="shared" ref="B2384:J2384" si="346">B$2215*B2291</f>
        <v>0</v>
      </c>
      <c r="C2384" s="6">
        <f t="shared" si="346"/>
        <v>9.2728018488137209</v>
      </c>
      <c r="D2384" s="6">
        <f t="shared" si="346"/>
        <v>0</v>
      </c>
      <c r="E2384" s="6">
        <f t="shared" si="346"/>
        <v>21.732553616161599</v>
      </c>
      <c r="F2384" s="6">
        <f t="shared" si="346"/>
        <v>107.83328130156519</v>
      </c>
      <c r="G2384" s="6">
        <f t="shared" si="346"/>
        <v>45.235037330888076</v>
      </c>
      <c r="H2384" s="6">
        <f t="shared" si="346"/>
        <v>152.71942142650474</v>
      </c>
      <c r="I2384" s="6">
        <f t="shared" si="346"/>
        <v>0</v>
      </c>
      <c r="J2384" s="6">
        <f t="shared" si="346"/>
        <v>0</v>
      </c>
      <c r="K2384" s="10"/>
    </row>
    <row r="2385" spans="1:11">
      <c r="A2385" s="11" t="s">
        <v>1647</v>
      </c>
      <c r="B2385" s="6">
        <f t="shared" ref="B2385:J2385" si="347">B$2216*B2292</f>
        <v>0</v>
      </c>
      <c r="C2385" s="6">
        <f t="shared" si="347"/>
        <v>0</v>
      </c>
      <c r="D2385" s="6">
        <f t="shared" si="347"/>
        <v>0</v>
      </c>
      <c r="E2385" s="6">
        <f t="shared" si="347"/>
        <v>0</v>
      </c>
      <c r="F2385" s="6">
        <f t="shared" si="347"/>
        <v>0</v>
      </c>
      <c r="G2385" s="6">
        <f t="shared" si="347"/>
        <v>0</v>
      </c>
      <c r="H2385" s="6">
        <f t="shared" si="347"/>
        <v>0</v>
      </c>
      <c r="I2385" s="6">
        <f t="shared" si="347"/>
        <v>0</v>
      </c>
      <c r="J2385" s="6">
        <f t="shared" si="347"/>
        <v>0</v>
      </c>
      <c r="K2385" s="10"/>
    </row>
    <row r="2386" spans="1:11">
      <c r="A2386" s="11" t="s">
        <v>1646</v>
      </c>
      <c r="B2386" s="6">
        <f t="shared" ref="B2386:J2386" si="348">B$2217*B2293</f>
        <v>0</v>
      </c>
      <c r="C2386" s="6">
        <f t="shared" si="348"/>
        <v>0</v>
      </c>
      <c r="D2386" s="6">
        <f t="shared" si="348"/>
        <v>0</v>
      </c>
      <c r="E2386" s="6">
        <f t="shared" si="348"/>
        <v>0</v>
      </c>
      <c r="F2386" s="6">
        <f t="shared" si="348"/>
        <v>0</v>
      </c>
      <c r="G2386" s="6">
        <f t="shared" si="348"/>
        <v>0</v>
      </c>
      <c r="H2386" s="6">
        <f t="shared" si="348"/>
        <v>0</v>
      </c>
      <c r="I2386" s="6">
        <f t="shared" si="348"/>
        <v>0</v>
      </c>
      <c r="J2386" s="6">
        <f t="shared" si="348"/>
        <v>0</v>
      </c>
      <c r="K2386" s="10"/>
    </row>
    <row r="2387" spans="1:11">
      <c r="A2387" s="11" t="s">
        <v>98</v>
      </c>
      <c r="B2387" s="6">
        <f t="shared" ref="B2387:J2387" si="349">B$2218*B2294</f>
        <v>0</v>
      </c>
      <c r="C2387" s="6">
        <f t="shared" si="349"/>
        <v>0</v>
      </c>
      <c r="D2387" s="6">
        <f t="shared" si="349"/>
        <v>0</v>
      </c>
      <c r="E2387" s="6">
        <f t="shared" si="349"/>
        <v>0</v>
      </c>
      <c r="F2387" s="6">
        <f t="shared" si="349"/>
        <v>0</v>
      </c>
      <c r="G2387" s="6">
        <f t="shared" si="349"/>
        <v>0</v>
      </c>
      <c r="H2387" s="6">
        <f t="shared" si="349"/>
        <v>39983.857959655485</v>
      </c>
      <c r="I2387" s="6">
        <f t="shared" si="349"/>
        <v>196142.61900415577</v>
      </c>
      <c r="J2387" s="6">
        <f t="shared" si="349"/>
        <v>192346.31024923665</v>
      </c>
      <c r="K2387" s="10"/>
    </row>
    <row r="2388" spans="1:11">
      <c r="A2388" s="11" t="s">
        <v>99</v>
      </c>
      <c r="B2388" s="6">
        <f t="shared" ref="B2388:J2388" si="350">B$2219*B2295</f>
        <v>0</v>
      </c>
      <c r="C2388" s="6">
        <f t="shared" si="350"/>
        <v>0</v>
      </c>
      <c r="D2388" s="6">
        <f t="shared" si="350"/>
        <v>0</v>
      </c>
      <c r="E2388" s="6">
        <f t="shared" si="350"/>
        <v>0</v>
      </c>
      <c r="F2388" s="6">
        <f t="shared" si="350"/>
        <v>0</v>
      </c>
      <c r="G2388" s="6">
        <f t="shared" si="350"/>
        <v>0</v>
      </c>
      <c r="H2388" s="6">
        <f t="shared" si="350"/>
        <v>2510.9053743522418</v>
      </c>
      <c r="I2388" s="6">
        <f t="shared" si="350"/>
        <v>2463.4719175623172</v>
      </c>
      <c r="J2388" s="6">
        <f t="shared" si="350"/>
        <v>0</v>
      </c>
      <c r="K2388" s="10"/>
    </row>
    <row r="2389" spans="1:11">
      <c r="A2389" s="11" t="s">
        <v>111</v>
      </c>
      <c r="B2389" s="6">
        <f t="shared" ref="B2389:J2389" si="351">B$2220*B2296</f>
        <v>0</v>
      </c>
      <c r="C2389" s="6">
        <f t="shared" si="351"/>
        <v>17509.594035454826</v>
      </c>
      <c r="D2389" s="6">
        <f t="shared" si="351"/>
        <v>0</v>
      </c>
      <c r="E2389" s="6">
        <f t="shared" si="351"/>
        <v>40422.76618602308</v>
      </c>
      <c r="F2389" s="6">
        <f t="shared" si="351"/>
        <v>200570.97725889314</v>
      </c>
      <c r="G2389" s="6">
        <f t="shared" si="351"/>
        <v>85416.161453274413</v>
      </c>
      <c r="H2389" s="6">
        <f t="shared" si="351"/>
        <v>284059.64496493712</v>
      </c>
      <c r="I2389" s="6">
        <f t="shared" si="351"/>
        <v>0</v>
      </c>
      <c r="J2389" s="6">
        <f t="shared" si="351"/>
        <v>0</v>
      </c>
      <c r="K2389" s="10"/>
    </row>
    <row r="2390" spans="1:11">
      <c r="A2390" s="11" t="s">
        <v>131</v>
      </c>
      <c r="B2390" s="6">
        <f t="shared" ref="B2390:J2390" si="352">B$2221*B2297</f>
        <v>0</v>
      </c>
      <c r="C2390" s="6">
        <f t="shared" si="352"/>
        <v>0</v>
      </c>
      <c r="D2390" s="6">
        <f t="shared" si="352"/>
        <v>0</v>
      </c>
      <c r="E2390" s="6">
        <f t="shared" si="352"/>
        <v>0</v>
      </c>
      <c r="F2390" s="6">
        <f t="shared" si="352"/>
        <v>0</v>
      </c>
      <c r="G2390" s="6">
        <f t="shared" si="352"/>
        <v>0</v>
      </c>
      <c r="H2390" s="6">
        <f t="shared" si="352"/>
        <v>0</v>
      </c>
      <c r="I2390" s="6">
        <f t="shared" si="352"/>
        <v>0</v>
      </c>
      <c r="J2390" s="6">
        <f t="shared" si="352"/>
        <v>0</v>
      </c>
      <c r="K2390" s="10"/>
    </row>
    <row r="2391" spans="1:11">
      <c r="A2391" s="11" t="s">
        <v>132</v>
      </c>
      <c r="B2391" s="6">
        <f t="shared" ref="B2391:J2391" si="353">B$2222*B2298</f>
        <v>0</v>
      </c>
      <c r="C2391" s="6">
        <f t="shared" si="353"/>
        <v>0</v>
      </c>
      <c r="D2391" s="6">
        <f t="shared" si="353"/>
        <v>0</v>
      </c>
      <c r="E2391" s="6">
        <f t="shared" si="353"/>
        <v>0</v>
      </c>
      <c r="F2391" s="6">
        <f t="shared" si="353"/>
        <v>0</v>
      </c>
      <c r="G2391" s="6">
        <f t="shared" si="353"/>
        <v>0</v>
      </c>
      <c r="H2391" s="6">
        <f t="shared" si="353"/>
        <v>0</v>
      </c>
      <c r="I2391" s="6">
        <f t="shared" si="353"/>
        <v>0</v>
      </c>
      <c r="J2391" s="6">
        <f t="shared" si="353"/>
        <v>0</v>
      </c>
      <c r="K2391" s="10"/>
    </row>
    <row r="2392" spans="1:11">
      <c r="A2392" s="11" t="s">
        <v>133</v>
      </c>
      <c r="B2392" s="6">
        <f t="shared" ref="B2392:J2392" si="354">B$2223*B2299</f>
        <v>0</v>
      </c>
      <c r="C2392" s="6">
        <f t="shared" si="354"/>
        <v>0</v>
      </c>
      <c r="D2392" s="6">
        <f t="shared" si="354"/>
        <v>0</v>
      </c>
      <c r="E2392" s="6">
        <f t="shared" si="354"/>
        <v>0</v>
      </c>
      <c r="F2392" s="6">
        <f t="shared" si="354"/>
        <v>0</v>
      </c>
      <c r="G2392" s="6">
        <f t="shared" si="354"/>
        <v>0</v>
      </c>
      <c r="H2392" s="6">
        <f t="shared" si="354"/>
        <v>0</v>
      </c>
      <c r="I2392" s="6">
        <f t="shared" si="354"/>
        <v>0</v>
      </c>
      <c r="J2392" s="6">
        <f t="shared" si="354"/>
        <v>0</v>
      </c>
      <c r="K2392" s="10"/>
    </row>
    <row r="2393" spans="1:11">
      <c r="A2393" s="11" t="s">
        <v>134</v>
      </c>
      <c r="B2393" s="6">
        <f t="shared" ref="B2393:J2393" si="355">B$2224*B2300</f>
        <v>0</v>
      </c>
      <c r="C2393" s="6">
        <f t="shared" si="355"/>
        <v>0</v>
      </c>
      <c r="D2393" s="6">
        <f t="shared" si="355"/>
        <v>0</v>
      </c>
      <c r="E2393" s="6">
        <f t="shared" si="355"/>
        <v>0</v>
      </c>
      <c r="F2393" s="6">
        <f t="shared" si="355"/>
        <v>0</v>
      </c>
      <c r="G2393" s="6">
        <f t="shared" si="355"/>
        <v>0</v>
      </c>
      <c r="H2393" s="6">
        <f t="shared" si="355"/>
        <v>0</v>
      </c>
      <c r="I2393" s="6">
        <f t="shared" si="355"/>
        <v>0</v>
      </c>
      <c r="J2393" s="6">
        <f t="shared" si="355"/>
        <v>0</v>
      </c>
      <c r="K2393" s="10"/>
    </row>
    <row r="2394" spans="1:11">
      <c r="A2394" s="11" t="s">
        <v>135</v>
      </c>
      <c r="B2394" s="6">
        <f t="shared" ref="B2394:J2394" si="356">B$2225*B2301</f>
        <v>0</v>
      </c>
      <c r="C2394" s="6">
        <f t="shared" si="356"/>
        <v>0</v>
      </c>
      <c r="D2394" s="6">
        <f t="shared" si="356"/>
        <v>0</v>
      </c>
      <c r="E2394" s="6">
        <f t="shared" si="356"/>
        <v>0</v>
      </c>
      <c r="F2394" s="6">
        <f t="shared" si="356"/>
        <v>0</v>
      </c>
      <c r="G2394" s="6">
        <f t="shared" si="356"/>
        <v>0</v>
      </c>
      <c r="H2394" s="6">
        <f t="shared" si="356"/>
        <v>0</v>
      </c>
      <c r="I2394" s="6">
        <f t="shared" si="356"/>
        <v>0</v>
      </c>
      <c r="J2394" s="6">
        <f t="shared" si="356"/>
        <v>0</v>
      </c>
      <c r="K2394" s="10"/>
    </row>
    <row r="2396" spans="1:11" ht="21" customHeight="1">
      <c r="A2396" s="1" t="s">
        <v>598</v>
      </c>
    </row>
    <row r="2397" spans="1:11">
      <c r="A2397" s="2" t="s">
        <v>255</v>
      </c>
    </row>
    <row r="2398" spans="1:11">
      <c r="A2398" s="12" t="s">
        <v>599</v>
      </c>
    </row>
    <row r="2399" spans="1:11">
      <c r="A2399" s="2" t="s">
        <v>567</v>
      </c>
    </row>
    <row r="2401" spans="1:11">
      <c r="B2401" s="3" t="s">
        <v>60</v>
      </c>
      <c r="C2401" s="3" t="s">
        <v>61</v>
      </c>
      <c r="D2401" s="3" t="s">
        <v>62</v>
      </c>
      <c r="E2401" s="3" t="s">
        <v>63</v>
      </c>
      <c r="F2401" s="3" t="s">
        <v>64</v>
      </c>
      <c r="G2401" s="3" t="s">
        <v>69</v>
      </c>
      <c r="H2401" s="3" t="s">
        <v>65</v>
      </c>
      <c r="I2401" s="3" t="s">
        <v>66</v>
      </c>
      <c r="J2401" s="3" t="s">
        <v>67</v>
      </c>
    </row>
    <row r="2402" spans="1:11" ht="30">
      <c r="A2402" s="11" t="s">
        <v>600</v>
      </c>
      <c r="B2402" s="15">
        <f t="shared" ref="B2402:J2402" si="357">SUM(B$2376:B$2394)</f>
        <v>0</v>
      </c>
      <c r="C2402" s="15">
        <f t="shared" si="357"/>
        <v>17518.866837303638</v>
      </c>
      <c r="D2402" s="15">
        <f t="shared" si="357"/>
        <v>0</v>
      </c>
      <c r="E2402" s="15">
        <f t="shared" si="357"/>
        <v>40444.498739639239</v>
      </c>
      <c r="F2402" s="15">
        <f t="shared" si="357"/>
        <v>200678.81054019471</v>
      </c>
      <c r="G2402" s="15">
        <f t="shared" si="357"/>
        <v>85461.396490605301</v>
      </c>
      <c r="H2402" s="15">
        <f t="shared" si="357"/>
        <v>326707.12772037135</v>
      </c>
      <c r="I2402" s="15">
        <f t="shared" si="357"/>
        <v>198717.35929105623</v>
      </c>
      <c r="J2402" s="15">
        <f t="shared" si="357"/>
        <v>1231496.7401623372</v>
      </c>
      <c r="K2402" s="10"/>
    </row>
    <row r="2404" spans="1:11" ht="21" customHeight="1">
      <c r="A2404" s="1" t="s">
        <v>601</v>
      </c>
    </row>
    <row r="2405" spans="1:11">
      <c r="A2405" s="2" t="s">
        <v>255</v>
      </c>
    </row>
    <row r="2406" spans="1:11">
      <c r="A2406" s="12" t="s">
        <v>602</v>
      </c>
    </row>
    <row r="2407" spans="1:11">
      <c r="A2407" s="12" t="s">
        <v>603</v>
      </c>
    </row>
    <row r="2408" spans="1:11">
      <c r="A2408" s="2" t="s">
        <v>604</v>
      </c>
    </row>
    <row r="2410" spans="1:11">
      <c r="B2410" s="3" t="s">
        <v>67</v>
      </c>
    </row>
    <row r="2411" spans="1:11">
      <c r="A2411" s="11" t="s">
        <v>605</v>
      </c>
      <c r="B2411" s="24">
        <f>$J2367/$J2402-1</f>
        <v>0.58125419098101117</v>
      </c>
      <c r="C2411" s="10"/>
    </row>
    <row r="2413" spans="1:11" ht="21" customHeight="1">
      <c r="A2413" s="1" t="s">
        <v>606</v>
      </c>
    </row>
    <row r="2415" spans="1:11">
      <c r="B2415" s="3" t="s">
        <v>60</v>
      </c>
      <c r="C2415" s="3" t="s">
        <v>61</v>
      </c>
      <c r="D2415" s="3" t="s">
        <v>62</v>
      </c>
      <c r="E2415" s="3" t="s">
        <v>63</v>
      </c>
      <c r="F2415" s="3" t="s">
        <v>64</v>
      </c>
      <c r="G2415" s="3" t="s">
        <v>69</v>
      </c>
      <c r="H2415" s="3" t="s">
        <v>65</v>
      </c>
      <c r="I2415" s="3" t="s">
        <v>66</v>
      </c>
      <c r="J2415" s="3" t="s">
        <v>67</v>
      </c>
    </row>
    <row r="2416" spans="1:11">
      <c r="A2416" s="11" t="s">
        <v>60</v>
      </c>
      <c r="B2416" s="25">
        <v>1</v>
      </c>
      <c r="C2416" s="25">
        <v>0</v>
      </c>
      <c r="D2416" s="25">
        <v>0</v>
      </c>
      <c r="E2416" s="25">
        <v>0</v>
      </c>
      <c r="F2416" s="25">
        <v>0</v>
      </c>
      <c r="G2416" s="25">
        <v>0</v>
      </c>
      <c r="H2416" s="25">
        <v>0</v>
      </c>
      <c r="I2416" s="25">
        <v>0</v>
      </c>
      <c r="J2416" s="25">
        <v>0</v>
      </c>
      <c r="K2416" s="10"/>
    </row>
    <row r="2417" spans="1:11">
      <c r="A2417" s="11" t="s">
        <v>61</v>
      </c>
      <c r="B2417" s="25">
        <v>0</v>
      </c>
      <c r="C2417" s="25">
        <v>1</v>
      </c>
      <c r="D2417" s="25">
        <v>0</v>
      </c>
      <c r="E2417" s="25">
        <v>0</v>
      </c>
      <c r="F2417" s="25">
        <v>0</v>
      </c>
      <c r="G2417" s="25">
        <v>0</v>
      </c>
      <c r="H2417" s="25">
        <v>0</v>
      </c>
      <c r="I2417" s="25">
        <v>0</v>
      </c>
      <c r="J2417" s="25">
        <v>0</v>
      </c>
      <c r="K2417" s="10"/>
    </row>
    <row r="2418" spans="1:11">
      <c r="A2418" s="11" t="s">
        <v>62</v>
      </c>
      <c r="B2418" s="25">
        <v>0</v>
      </c>
      <c r="C2418" s="25">
        <v>0</v>
      </c>
      <c r="D2418" s="25">
        <v>1</v>
      </c>
      <c r="E2418" s="25">
        <v>0</v>
      </c>
      <c r="F2418" s="25">
        <v>0</v>
      </c>
      <c r="G2418" s="25">
        <v>1</v>
      </c>
      <c r="H2418" s="25">
        <v>0</v>
      </c>
      <c r="I2418" s="25">
        <v>0</v>
      </c>
      <c r="J2418" s="25">
        <v>0</v>
      </c>
      <c r="K2418" s="10"/>
    </row>
    <row r="2419" spans="1:11">
      <c r="A2419" s="11" t="s">
        <v>63</v>
      </c>
      <c r="B2419" s="25">
        <v>0</v>
      </c>
      <c r="C2419" s="25">
        <v>0</v>
      </c>
      <c r="D2419" s="25">
        <v>0</v>
      </c>
      <c r="E2419" s="25">
        <v>1</v>
      </c>
      <c r="F2419" s="25">
        <v>0</v>
      </c>
      <c r="G2419" s="25">
        <v>0</v>
      </c>
      <c r="H2419" s="25">
        <v>0</v>
      </c>
      <c r="I2419" s="25">
        <v>0</v>
      </c>
      <c r="J2419" s="25">
        <v>0</v>
      </c>
      <c r="K2419" s="10"/>
    </row>
    <row r="2420" spans="1:11">
      <c r="A2420" s="11" t="s">
        <v>64</v>
      </c>
      <c r="B2420" s="25">
        <v>0</v>
      </c>
      <c r="C2420" s="25">
        <v>0</v>
      </c>
      <c r="D2420" s="25">
        <v>0</v>
      </c>
      <c r="E2420" s="25">
        <v>0</v>
      </c>
      <c r="F2420" s="25">
        <v>1</v>
      </c>
      <c r="G2420" s="25">
        <v>0</v>
      </c>
      <c r="H2420" s="25">
        <v>0</v>
      </c>
      <c r="I2420" s="25">
        <v>0</v>
      </c>
      <c r="J2420" s="25">
        <v>0</v>
      </c>
      <c r="K2420" s="10"/>
    </row>
    <row r="2421" spans="1:11">
      <c r="A2421" s="11" t="s">
        <v>65</v>
      </c>
      <c r="B2421" s="25">
        <v>0</v>
      </c>
      <c r="C2421" s="25">
        <v>0</v>
      </c>
      <c r="D2421" s="25">
        <v>0</v>
      </c>
      <c r="E2421" s="25">
        <v>0</v>
      </c>
      <c r="F2421" s="25">
        <v>0</v>
      </c>
      <c r="G2421" s="25">
        <v>0</v>
      </c>
      <c r="H2421" s="25">
        <v>1</v>
      </c>
      <c r="I2421" s="25">
        <v>0</v>
      </c>
      <c r="J2421" s="25">
        <v>0</v>
      </c>
      <c r="K2421" s="10"/>
    </row>
    <row r="2422" spans="1:11">
      <c r="A2422" s="11" t="s">
        <v>66</v>
      </c>
      <c r="B2422" s="25">
        <v>0</v>
      </c>
      <c r="C2422" s="25">
        <v>0</v>
      </c>
      <c r="D2422" s="25">
        <v>0</v>
      </c>
      <c r="E2422" s="25">
        <v>0</v>
      </c>
      <c r="F2422" s="25">
        <v>0</v>
      </c>
      <c r="G2422" s="25">
        <v>0</v>
      </c>
      <c r="H2422" s="25">
        <v>0</v>
      </c>
      <c r="I2422" s="25">
        <v>1</v>
      </c>
      <c r="J2422" s="25">
        <v>0</v>
      </c>
      <c r="K2422" s="10"/>
    </row>
    <row r="2423" spans="1:11">
      <c r="A2423" s="11" t="s">
        <v>67</v>
      </c>
      <c r="B2423" s="25">
        <v>0</v>
      </c>
      <c r="C2423" s="25">
        <v>0</v>
      </c>
      <c r="D2423" s="25">
        <v>0</v>
      </c>
      <c r="E2423" s="25">
        <v>0</v>
      </c>
      <c r="F2423" s="25">
        <v>0</v>
      </c>
      <c r="G2423" s="25">
        <v>0</v>
      </c>
      <c r="H2423" s="25">
        <v>0</v>
      </c>
      <c r="I2423" s="25">
        <v>0</v>
      </c>
      <c r="J2423" s="25">
        <v>1</v>
      </c>
      <c r="K2423" s="10"/>
    </row>
    <row r="2425" spans="1:11" ht="21" customHeight="1">
      <c r="A2425" s="1" t="s">
        <v>607</v>
      </c>
    </row>
    <row r="2426" spans="1:11">
      <c r="A2426" s="2" t="s">
        <v>255</v>
      </c>
    </row>
    <row r="2427" spans="1:11">
      <c r="A2427" s="12" t="s">
        <v>608</v>
      </c>
    </row>
    <row r="2428" spans="1:11">
      <c r="A2428" s="12" t="s">
        <v>609</v>
      </c>
    </row>
    <row r="2429" spans="1:11">
      <c r="A2429" s="2" t="s">
        <v>268</v>
      </c>
    </row>
    <row r="2431" spans="1:11" ht="30">
      <c r="B2431" s="3" t="s">
        <v>610</v>
      </c>
    </row>
    <row r="2432" spans="1:11">
      <c r="A2432" s="11" t="s">
        <v>60</v>
      </c>
      <c r="B2432" s="24">
        <f>SUMPRODUCT(D$645:D$652,$B$2416:$B$2423)</f>
        <v>6.3829787234042534E-2</v>
      </c>
      <c r="C2432" s="10"/>
    </row>
    <row r="2433" spans="1:10">
      <c r="A2433" s="11" t="s">
        <v>61</v>
      </c>
      <c r="B2433" s="24">
        <f>SUMPRODUCT(D$645:D$652,$C$2416:$C$2423)</f>
        <v>0.12021276595744657</v>
      </c>
      <c r="C2433" s="10"/>
    </row>
    <row r="2434" spans="1:10">
      <c r="A2434" s="11" t="s">
        <v>62</v>
      </c>
      <c r="B2434" s="24">
        <f>SUMPRODUCT(D$645:D$652,$D$2416:$D$2423)</f>
        <v>0.12021276595744657</v>
      </c>
      <c r="C2434" s="10"/>
    </row>
    <row r="2435" spans="1:10">
      <c r="A2435" s="11" t="s">
        <v>63</v>
      </c>
      <c r="B2435" s="24">
        <f>SUMPRODUCT(D$645:D$652,$E$2416:$E$2423)</f>
        <v>0.23111382978723372</v>
      </c>
      <c r="C2435" s="10"/>
    </row>
    <row r="2436" spans="1:10">
      <c r="A2436" s="11" t="s">
        <v>64</v>
      </c>
      <c r="B2436" s="24">
        <f>SUMPRODUCT(D$645:D$652,$F$2416:$F$2423)</f>
        <v>0.23111382978723372</v>
      </c>
      <c r="C2436" s="10"/>
    </row>
    <row r="2437" spans="1:10">
      <c r="A2437" s="11" t="s">
        <v>69</v>
      </c>
      <c r="B2437" s="24">
        <f>SUMPRODUCT(D$645:D$652,$G$2416:$G$2423)</f>
        <v>0.12021276595744657</v>
      </c>
      <c r="C2437" s="10"/>
    </row>
    <row r="2438" spans="1:10">
      <c r="A2438" s="11" t="s">
        <v>65</v>
      </c>
      <c r="B2438" s="24">
        <f>SUMPRODUCT(D$645:D$652,$H$2416:$H$2423)</f>
        <v>0.68662594680851052</v>
      </c>
      <c r="C2438" s="10"/>
    </row>
    <row r="2439" spans="1:10">
      <c r="A2439" s="11" t="s">
        <v>66</v>
      </c>
      <c r="B2439" s="24">
        <f>SUMPRODUCT(D$645:D$652,$I$2416:$I$2423)</f>
        <v>0.68662594680851052</v>
      </c>
      <c r="C2439" s="10"/>
    </row>
    <row r="2440" spans="1:10">
      <c r="A2440" s="11" t="s">
        <v>67</v>
      </c>
      <c r="B2440" s="24">
        <f>SUMPRODUCT(D$645:D$652,$J$2416:$J$2423)</f>
        <v>0</v>
      </c>
      <c r="C2440" s="10"/>
    </row>
    <row r="2442" spans="1:10" ht="21" customHeight="1">
      <c r="A2442" s="1" t="s">
        <v>611</v>
      </c>
    </row>
    <row r="2443" spans="1:10">
      <c r="A2443" s="2" t="s">
        <v>255</v>
      </c>
    </row>
    <row r="2444" spans="1:10">
      <c r="A2444" s="12" t="s">
        <v>612</v>
      </c>
    </row>
    <row r="2445" spans="1:10">
      <c r="A2445" s="12" t="s">
        <v>613</v>
      </c>
    </row>
    <row r="2446" spans="1:10">
      <c r="A2446" s="2" t="s">
        <v>273</v>
      </c>
    </row>
    <row r="2448" spans="1:10">
      <c r="B2448" s="3" t="s">
        <v>60</v>
      </c>
      <c r="C2448" s="3" t="s">
        <v>61</v>
      </c>
      <c r="D2448" s="3" t="s">
        <v>62</v>
      </c>
      <c r="E2448" s="3" t="s">
        <v>63</v>
      </c>
      <c r="F2448" s="3" t="s">
        <v>64</v>
      </c>
      <c r="G2448" s="3" t="s">
        <v>69</v>
      </c>
      <c r="H2448" s="3" t="s">
        <v>65</v>
      </c>
      <c r="I2448" s="3" t="s">
        <v>66</v>
      </c>
      <c r="J2448" s="3" t="s">
        <v>67</v>
      </c>
    </row>
    <row r="2449" spans="1:11">
      <c r="A2449" s="11" t="s">
        <v>614</v>
      </c>
      <c r="B2449" s="26">
        <f>$B$2432</f>
        <v>6.3829787234042534E-2</v>
      </c>
      <c r="C2449" s="26">
        <f>$B$2433</f>
        <v>0.12021276595744657</v>
      </c>
      <c r="D2449" s="26">
        <f>$B$2434</f>
        <v>0.12021276595744657</v>
      </c>
      <c r="E2449" s="26">
        <f>$B$2435</f>
        <v>0.23111382978723372</v>
      </c>
      <c r="F2449" s="26">
        <f>$B$2436</f>
        <v>0.23111382978723372</v>
      </c>
      <c r="G2449" s="26">
        <f>$B$2437</f>
        <v>0.12021276595744657</v>
      </c>
      <c r="H2449" s="26">
        <f>$B$2438</f>
        <v>0.68662594680851052</v>
      </c>
      <c r="I2449" s="26">
        <f>$B$2439</f>
        <v>0.68662594680851052</v>
      </c>
      <c r="J2449" s="26">
        <f>$B2411</f>
        <v>0.58125419098101117</v>
      </c>
      <c r="K2449" s="10"/>
    </row>
    <row r="2451" spans="1:11" ht="21" customHeight="1">
      <c r="A2451" s="1" t="s">
        <v>615</v>
      </c>
    </row>
    <row r="2452" spans="1:11">
      <c r="A2452" s="2" t="s">
        <v>255</v>
      </c>
    </row>
    <row r="2453" spans="1:11">
      <c r="A2453" s="12" t="s">
        <v>616</v>
      </c>
    </row>
    <row r="2454" spans="1:11">
      <c r="A2454" s="12" t="s">
        <v>603</v>
      </c>
    </row>
    <row r="2455" spans="1:11">
      <c r="A2455" s="12" t="s">
        <v>617</v>
      </c>
    </row>
    <row r="2456" spans="1:11">
      <c r="A2456" s="12" t="s">
        <v>618</v>
      </c>
    </row>
    <row r="2457" spans="1:11">
      <c r="A2457" s="2" t="s">
        <v>619</v>
      </c>
    </row>
    <row r="2459" spans="1:11">
      <c r="B2459" s="3" t="s">
        <v>60</v>
      </c>
      <c r="C2459" s="3" t="s">
        <v>61</v>
      </c>
      <c r="D2459" s="3" t="s">
        <v>62</v>
      </c>
      <c r="E2459" s="3" t="s">
        <v>63</v>
      </c>
      <c r="F2459" s="3" t="s">
        <v>64</v>
      </c>
      <c r="G2459" s="3" t="s">
        <v>69</v>
      </c>
      <c r="H2459" s="3" t="s">
        <v>65</v>
      </c>
      <c r="I2459" s="3" t="s">
        <v>66</v>
      </c>
      <c r="J2459" s="3" t="s">
        <v>67</v>
      </c>
    </row>
    <row r="2460" spans="1:11" ht="30">
      <c r="A2460" s="11" t="s">
        <v>620</v>
      </c>
      <c r="B2460" s="15">
        <f t="shared" ref="B2460:J2460" si="358">B2241-B2402+B2367/(1+B2449)</f>
        <v>1642126.5781199718</v>
      </c>
      <c r="C2460" s="15">
        <f t="shared" si="358"/>
        <v>1642022.1772259399</v>
      </c>
      <c r="D2460" s="15">
        <f t="shared" si="358"/>
        <v>1130850.4992973593</v>
      </c>
      <c r="E2460" s="15">
        <f t="shared" si="358"/>
        <v>1155844.0349028527</v>
      </c>
      <c r="F2460" s="15">
        <f t="shared" si="358"/>
        <v>1291729.0956738985</v>
      </c>
      <c r="G2460" s="15">
        <f t="shared" si="358"/>
        <v>569211.60662440583</v>
      </c>
      <c r="H2460" s="15">
        <f t="shared" si="358"/>
        <v>1730883.2340923855</v>
      </c>
      <c r="I2460" s="15">
        <f t="shared" si="358"/>
        <v>1421163.9896111414</v>
      </c>
      <c r="J2460" s="15">
        <f t="shared" si="358"/>
        <v>1256336.0340364748</v>
      </c>
      <c r="K2460" s="10"/>
    </row>
    <row r="2462" spans="1:11" ht="21" customHeight="1">
      <c r="A2462" s="1" t="str">
        <f>"Other expenditure"&amp;" for "&amp;CDCM!B7&amp;" in "&amp;CDCM!C7&amp;" ("&amp;CDCM!D7&amp;")"</f>
        <v>Other expenditure for 0 in 0 (0)</v>
      </c>
    </row>
    <row r="2464" spans="1:11" ht="21" customHeight="1">
      <c r="A2464" s="1" t="s">
        <v>621</v>
      </c>
    </row>
    <row r="2465" spans="1:13">
      <c r="A2465" s="2" t="s">
        <v>255</v>
      </c>
    </row>
    <row r="2466" spans="1:13">
      <c r="A2466" s="12" t="s">
        <v>622</v>
      </c>
    </row>
    <row r="2467" spans="1:13">
      <c r="A2467" s="2" t="s">
        <v>623</v>
      </c>
    </row>
    <row r="2468" spans="1:13">
      <c r="A2468" s="2" t="s">
        <v>273</v>
      </c>
    </row>
    <row r="2470" spans="1:13" ht="30">
      <c r="B2470" s="3" t="s">
        <v>208</v>
      </c>
      <c r="C2470" s="3" t="s">
        <v>624</v>
      </c>
      <c r="D2470" s="3" t="s">
        <v>625</v>
      </c>
      <c r="E2470" s="3" t="s">
        <v>626</v>
      </c>
      <c r="F2470" s="3" t="s">
        <v>627</v>
      </c>
      <c r="G2470" s="3" t="s">
        <v>628</v>
      </c>
      <c r="H2470" s="3" t="s">
        <v>629</v>
      </c>
      <c r="I2470" s="3" t="s">
        <v>630</v>
      </c>
      <c r="J2470" s="3" t="s">
        <v>631</v>
      </c>
      <c r="K2470" s="3" t="s">
        <v>632</v>
      </c>
      <c r="L2470" s="3" t="s">
        <v>633</v>
      </c>
    </row>
    <row r="2471" spans="1:13" ht="30">
      <c r="A2471" s="11" t="s">
        <v>634</v>
      </c>
      <c r="B2471" s="28">
        <f>$B244</f>
        <v>11182182.267299153</v>
      </c>
      <c r="C2471" s="23">
        <v>0</v>
      </c>
      <c r="D2471" s="23">
        <v>0</v>
      </c>
      <c r="E2471" s="23">
        <v>0</v>
      </c>
      <c r="F2471" s="23">
        <v>0</v>
      </c>
      <c r="G2471" s="23">
        <v>0</v>
      </c>
      <c r="H2471" s="23">
        <v>0</v>
      </c>
      <c r="I2471" s="23">
        <v>0</v>
      </c>
      <c r="J2471" s="23">
        <v>0</v>
      </c>
      <c r="K2471" s="23">
        <v>0</v>
      </c>
      <c r="L2471" s="23">
        <v>0</v>
      </c>
      <c r="M2471" s="10"/>
    </row>
    <row r="2473" spans="1:13" ht="21" customHeight="1">
      <c r="A2473" s="1" t="s">
        <v>635</v>
      </c>
    </row>
    <row r="2474" spans="1:13">
      <c r="A2474" s="2" t="s">
        <v>255</v>
      </c>
    </row>
    <row r="2475" spans="1:13">
      <c r="A2475" s="12" t="s">
        <v>347</v>
      </c>
    </row>
    <row r="2476" spans="1:13">
      <c r="A2476" s="12" t="s">
        <v>636</v>
      </c>
    </row>
    <row r="2477" spans="1:13">
      <c r="A2477" s="12" t="s">
        <v>637</v>
      </c>
    </row>
    <row r="2478" spans="1:13">
      <c r="A2478" s="2" t="s">
        <v>638</v>
      </c>
    </row>
    <row r="2480" spans="1:13" ht="30">
      <c r="B2480" s="3" t="s">
        <v>220</v>
      </c>
      <c r="C2480" s="3" t="s">
        <v>221</v>
      </c>
      <c r="D2480" s="3" t="s">
        <v>222</v>
      </c>
      <c r="E2480" s="3" t="s">
        <v>223</v>
      </c>
      <c r="F2480" s="3" t="s">
        <v>224</v>
      </c>
      <c r="G2480" s="3" t="s">
        <v>225</v>
      </c>
      <c r="H2480" s="3" t="s">
        <v>226</v>
      </c>
      <c r="I2480" s="3" t="s">
        <v>227</v>
      </c>
    </row>
    <row r="2481" spans="1:10">
      <c r="A2481" s="11" t="s">
        <v>639</v>
      </c>
      <c r="B2481" s="15">
        <f>IF($B$710,$C2460*$B$46/$B$710/1000,0)</f>
        <v>501294401.23364079</v>
      </c>
      <c r="C2481" s="15">
        <f>IF($B$711,$D2460*$B$47/$B$711/1000,0)</f>
        <v>43756153.901160643</v>
      </c>
      <c r="D2481" s="15">
        <f>IF($B$712,$E2460*$B$48/$B$712/1000,0)</f>
        <v>134385149.03645027</v>
      </c>
      <c r="E2481" s="15">
        <f>IF($B$713,$F2460*$B$49/$B$713/1000,0)</f>
        <v>131664048.05244507</v>
      </c>
      <c r="F2481" s="15">
        <f>IF($B$714,$G2460*$B$50/$B$714/1000,0)</f>
        <v>43593572.113696747</v>
      </c>
      <c r="G2481" s="15">
        <f>IF($B$715,$H2460*$B$51/$B$715/1000,0)</f>
        <v>600904602.32887602</v>
      </c>
      <c r="H2481" s="15">
        <f>IF($B$716,$I2460*$B$52/$B$716/1000,0)</f>
        <v>194278533.0577347</v>
      </c>
      <c r="I2481" s="15">
        <f>IF($B$717,$J2460*$B$53/$B$717/1000,0)</f>
        <v>360700023.71248585</v>
      </c>
      <c r="J2481" s="10"/>
    </row>
    <row r="2483" spans="1:10" ht="21" customHeight="1">
      <c r="A2483" s="1" t="s">
        <v>640</v>
      </c>
    </row>
    <row r="2484" spans="1:10">
      <c r="A2484" s="2" t="s">
        <v>255</v>
      </c>
    </row>
    <row r="2485" spans="1:10">
      <c r="A2485" s="12" t="s">
        <v>474</v>
      </c>
    </row>
    <row r="2486" spans="1:10">
      <c r="A2486" s="2" t="s">
        <v>641</v>
      </c>
    </row>
    <row r="2488" spans="1:10" ht="30">
      <c r="B2488" s="3" t="s">
        <v>642</v>
      </c>
    </row>
    <row r="2489" spans="1:10">
      <c r="A2489" s="11" t="s">
        <v>131</v>
      </c>
      <c r="B2489" s="28">
        <f>B$1330</f>
        <v>7688.7695715680156</v>
      </c>
      <c r="C2489" s="10"/>
    </row>
    <row r="2490" spans="1:10">
      <c r="A2490" s="11" t="s">
        <v>132</v>
      </c>
      <c r="B2490" s="28">
        <f>B$1331</f>
        <v>6049.835122971047</v>
      </c>
      <c r="C2490" s="10"/>
    </row>
    <row r="2491" spans="1:10">
      <c r="A2491" s="11" t="s">
        <v>133</v>
      </c>
      <c r="B2491" s="28">
        <f>B$1332</f>
        <v>378.27038018128798</v>
      </c>
      <c r="C2491" s="10"/>
    </row>
    <row r="2492" spans="1:10">
      <c r="A2492" s="11" t="s">
        <v>134</v>
      </c>
      <c r="B2492" s="28">
        <f>B$1333</f>
        <v>0</v>
      </c>
      <c r="C2492" s="10"/>
    </row>
    <row r="2493" spans="1:10">
      <c r="A2493" s="11" t="s">
        <v>135</v>
      </c>
      <c r="B2493" s="28">
        <f>B$1334</f>
        <v>144605.38818021171</v>
      </c>
      <c r="C2493" s="10"/>
    </row>
    <row r="2495" spans="1:10" ht="21" customHeight="1">
      <c r="A2495" s="1" t="s">
        <v>643</v>
      </c>
    </row>
    <row r="2496" spans="1:10">
      <c r="A2496" s="2" t="s">
        <v>255</v>
      </c>
    </row>
    <row r="2497" spans="1:8">
      <c r="A2497" s="12" t="s">
        <v>644</v>
      </c>
    </row>
    <row r="2498" spans="1:8">
      <c r="A2498" s="2" t="s">
        <v>567</v>
      </c>
    </row>
    <row r="2500" spans="1:8">
      <c r="B2500" s="3" t="s">
        <v>645</v>
      </c>
    </row>
    <row r="2501" spans="1:8">
      <c r="A2501" s="11" t="s">
        <v>645</v>
      </c>
      <c r="B2501" s="15">
        <f>SUM(B$2489:B$2493)</f>
        <v>158722.26325493207</v>
      </c>
      <c r="C2501" s="10"/>
    </row>
    <row r="2503" spans="1:8" ht="21" customHeight="1">
      <c r="A2503" s="1" t="s">
        <v>646</v>
      </c>
    </row>
    <row r="2504" spans="1:8">
      <c r="A2504" s="2" t="s">
        <v>255</v>
      </c>
    </row>
    <row r="2505" spans="1:8">
      <c r="A2505" s="12" t="s">
        <v>647</v>
      </c>
    </row>
    <row r="2506" spans="1:8">
      <c r="A2506" s="12" t="s">
        <v>648</v>
      </c>
    </row>
    <row r="2507" spans="1:8">
      <c r="A2507" s="12" t="s">
        <v>649</v>
      </c>
    </row>
    <row r="2508" spans="1:8">
      <c r="A2508" s="12" t="s">
        <v>650</v>
      </c>
    </row>
    <row r="2509" spans="1:8">
      <c r="A2509" s="12" t="s">
        <v>651</v>
      </c>
    </row>
    <row r="2510" spans="1:8">
      <c r="A2510" s="12" t="s">
        <v>652</v>
      </c>
    </row>
    <row r="2511" spans="1:8">
      <c r="A2511" s="12" t="s">
        <v>653</v>
      </c>
    </row>
    <row r="2512" spans="1:8">
      <c r="A2512" s="21" t="s">
        <v>258</v>
      </c>
      <c r="B2512" s="21" t="s">
        <v>260</v>
      </c>
      <c r="C2512" s="21"/>
      <c r="D2512" s="21" t="s">
        <v>385</v>
      </c>
      <c r="E2512" s="21" t="s">
        <v>314</v>
      </c>
      <c r="F2512" s="21"/>
      <c r="G2512" s="21" t="s">
        <v>385</v>
      </c>
      <c r="H2512" s="21"/>
    </row>
    <row r="2513" spans="1:13">
      <c r="A2513" s="21" t="s">
        <v>261</v>
      </c>
      <c r="B2513" s="21" t="s">
        <v>263</v>
      </c>
      <c r="C2513" s="21"/>
      <c r="D2513" s="21" t="s">
        <v>654</v>
      </c>
      <c r="E2513" s="21" t="s">
        <v>655</v>
      </c>
      <c r="F2513" s="21"/>
      <c r="G2513" s="21" t="s">
        <v>656</v>
      </c>
      <c r="H2513" s="21"/>
    </row>
    <row r="2515" spans="1:13">
      <c r="B2515" s="20" t="s">
        <v>657</v>
      </c>
      <c r="C2515" s="20"/>
      <c r="E2515" s="20" t="s">
        <v>658</v>
      </c>
      <c r="F2515" s="20"/>
      <c r="G2515" s="20" t="s">
        <v>659</v>
      </c>
      <c r="H2515" s="20"/>
    </row>
    <row r="2516" spans="1:13" ht="30">
      <c r="B2516" s="3" t="s">
        <v>364</v>
      </c>
      <c r="C2516" s="3" t="s">
        <v>376</v>
      </c>
      <c r="D2516" s="3" t="s">
        <v>658</v>
      </c>
      <c r="E2516" s="3" t="s">
        <v>364</v>
      </c>
      <c r="F2516" s="3" t="s">
        <v>376</v>
      </c>
      <c r="G2516" s="3" t="s">
        <v>364</v>
      </c>
      <c r="H2516" s="3" t="s">
        <v>376</v>
      </c>
    </row>
    <row r="2517" spans="1:13">
      <c r="A2517" s="11" t="s">
        <v>660</v>
      </c>
      <c r="B2517" s="15">
        <f>SUMPRODUCT(B$801:B$827,$E$1170:$E$1196)</f>
        <v>342749497.64718586</v>
      </c>
      <c r="C2517" s="15">
        <f>SUMPRODUCT(C$801:C$827,$E$1170:$E$1196)</f>
        <v>6286243.944871705</v>
      </c>
      <c r="D2517" s="15">
        <f>B770*$B2501</f>
        <v>40242417.152927354</v>
      </c>
      <c r="E2517" s="28">
        <f>$D2517</f>
        <v>40242417.152927354</v>
      </c>
      <c r="F2517" s="9"/>
      <c r="G2517" s="15">
        <f>B2517+E2517</f>
        <v>382991914.8001132</v>
      </c>
      <c r="H2517" s="15">
        <f>C2517+F2517</f>
        <v>6286243.944871705</v>
      </c>
      <c r="I2517" s="10"/>
    </row>
    <row r="2519" spans="1:13" ht="21" customHeight="1">
      <c r="A2519" s="1" t="s">
        <v>661</v>
      </c>
    </row>
    <row r="2520" spans="1:13">
      <c r="A2520" s="2" t="s">
        <v>255</v>
      </c>
    </row>
    <row r="2521" spans="1:13">
      <c r="A2521" s="12" t="s">
        <v>662</v>
      </c>
    </row>
    <row r="2522" spans="1:13">
      <c r="A2522" s="12" t="s">
        <v>663</v>
      </c>
    </row>
    <row r="2523" spans="1:13">
      <c r="A2523" s="12" t="s">
        <v>664</v>
      </c>
    </row>
    <row r="2524" spans="1:13">
      <c r="A2524" s="21" t="s">
        <v>258</v>
      </c>
      <c r="B2524" s="2" t="s">
        <v>419</v>
      </c>
      <c r="C2524" s="2"/>
      <c r="D2524" s="2"/>
      <c r="E2524" s="2"/>
      <c r="F2524" s="2"/>
      <c r="G2524" s="2"/>
      <c r="H2524" s="2"/>
      <c r="I2524" s="2"/>
      <c r="J2524" s="2"/>
      <c r="K2524" s="2"/>
      <c r="L2524" s="2"/>
      <c r="M2524" s="21" t="s">
        <v>386</v>
      </c>
    </row>
    <row r="2525" spans="1:13">
      <c r="A2525" s="21" t="s">
        <v>261</v>
      </c>
      <c r="B2525" s="2" t="s">
        <v>493</v>
      </c>
      <c r="C2525" s="2"/>
      <c r="D2525" s="2"/>
      <c r="E2525" s="2"/>
      <c r="F2525" s="2"/>
      <c r="G2525" s="2"/>
      <c r="H2525" s="2"/>
      <c r="I2525" s="2"/>
      <c r="J2525" s="2"/>
      <c r="K2525" s="2"/>
      <c r="L2525" s="2"/>
      <c r="M2525" s="21" t="s">
        <v>438</v>
      </c>
    </row>
    <row r="2527" spans="1:13">
      <c r="B2527" s="22" t="s">
        <v>665</v>
      </c>
      <c r="C2527" s="22"/>
      <c r="D2527" s="22"/>
      <c r="E2527" s="22"/>
      <c r="F2527" s="22"/>
      <c r="G2527" s="22"/>
      <c r="H2527" s="22"/>
      <c r="I2527" s="22"/>
      <c r="J2527" s="22"/>
      <c r="K2527" s="22"/>
      <c r="L2527" s="22"/>
    </row>
    <row r="2528" spans="1:13" ht="30">
      <c r="B2528" s="3" t="s">
        <v>60</v>
      </c>
      <c r="C2528" s="3" t="s">
        <v>220</v>
      </c>
      <c r="D2528" s="3" t="s">
        <v>221</v>
      </c>
      <c r="E2528" s="3" t="s">
        <v>222</v>
      </c>
      <c r="F2528" s="3" t="s">
        <v>223</v>
      </c>
      <c r="G2528" s="3" t="s">
        <v>224</v>
      </c>
      <c r="H2528" s="3" t="s">
        <v>225</v>
      </c>
      <c r="I2528" s="3" t="s">
        <v>226</v>
      </c>
      <c r="J2528" s="3" t="s">
        <v>227</v>
      </c>
      <c r="K2528" s="3" t="s">
        <v>364</v>
      </c>
      <c r="L2528" s="3" t="s">
        <v>376</v>
      </c>
      <c r="M2528" s="3" t="s">
        <v>666</v>
      </c>
    </row>
    <row r="2529" spans="1:14">
      <c r="A2529" s="11" t="s">
        <v>667</v>
      </c>
      <c r="B2529" s="9"/>
      <c r="C2529" s="28">
        <f>$B2481</f>
        <v>501294401.23364079</v>
      </c>
      <c r="D2529" s="28">
        <f>$C2481</f>
        <v>43756153.901160643</v>
      </c>
      <c r="E2529" s="28">
        <f>$D2481</f>
        <v>134385149.03645027</v>
      </c>
      <c r="F2529" s="28">
        <f>$E2481</f>
        <v>131664048.05244507</v>
      </c>
      <c r="G2529" s="28">
        <f>$F2481</f>
        <v>43593572.113696747</v>
      </c>
      <c r="H2529" s="28">
        <f>$G2481</f>
        <v>600904602.32887602</v>
      </c>
      <c r="I2529" s="28">
        <f>$H2481</f>
        <v>194278533.0577347</v>
      </c>
      <c r="J2529" s="28">
        <f>$I2481</f>
        <v>360700023.71248585</v>
      </c>
      <c r="K2529" s="28">
        <f>$G2517</f>
        <v>382991914.8001132</v>
      </c>
      <c r="L2529" s="28">
        <f>$H2517</f>
        <v>6286243.944871705</v>
      </c>
      <c r="M2529" s="28">
        <f>SUM($B2529:$L2529)</f>
        <v>2399854642.1814747</v>
      </c>
      <c r="N2529" s="10"/>
    </row>
    <row r="2531" spans="1:14" ht="21" customHeight="1">
      <c r="A2531" s="1" t="s">
        <v>668</v>
      </c>
    </row>
    <row r="2532" spans="1:14">
      <c r="A2532" s="2" t="s">
        <v>255</v>
      </c>
    </row>
    <row r="2533" spans="1:14">
      <c r="A2533" s="12" t="s">
        <v>669</v>
      </c>
    </row>
    <row r="2534" spans="1:14">
      <c r="A2534" s="12" t="s">
        <v>670</v>
      </c>
    </row>
    <row r="2535" spans="1:14">
      <c r="A2535" s="12" t="s">
        <v>671</v>
      </c>
    </row>
    <row r="2536" spans="1:14">
      <c r="A2536" s="12" t="s">
        <v>672</v>
      </c>
    </row>
    <row r="2537" spans="1:14">
      <c r="A2537" s="2" t="s">
        <v>673</v>
      </c>
    </row>
    <row r="2539" spans="1:14" ht="45">
      <c r="B2539" s="3" t="s">
        <v>674</v>
      </c>
    </row>
    <row r="2540" spans="1:14">
      <c r="A2540" s="11" t="s">
        <v>215</v>
      </c>
      <c r="B2540" s="15">
        <f>B249+E249+C249*D249</f>
        <v>79608750.465157419</v>
      </c>
      <c r="C2540" s="10"/>
    </row>
    <row r="2542" spans="1:14" ht="21" customHeight="1">
      <c r="A2542" s="1" t="s">
        <v>675</v>
      </c>
    </row>
    <row r="2543" spans="1:14">
      <c r="A2543" s="2" t="s">
        <v>255</v>
      </c>
    </row>
    <row r="2544" spans="1:14">
      <c r="A2544" s="12" t="s">
        <v>676</v>
      </c>
    </row>
    <row r="2545" spans="1:13">
      <c r="A2545" s="12" t="s">
        <v>677</v>
      </c>
    </row>
    <row r="2546" spans="1:13">
      <c r="A2546" s="12" t="s">
        <v>678</v>
      </c>
    </row>
    <row r="2547" spans="1:13">
      <c r="A2547" s="12" t="s">
        <v>679</v>
      </c>
    </row>
    <row r="2548" spans="1:13">
      <c r="A2548" s="2" t="s">
        <v>680</v>
      </c>
    </row>
    <row r="2550" spans="1:13" ht="30">
      <c r="B2550" s="3" t="s">
        <v>208</v>
      </c>
      <c r="C2550" s="3" t="s">
        <v>624</v>
      </c>
      <c r="D2550" s="3" t="s">
        <v>625</v>
      </c>
      <c r="E2550" s="3" t="s">
        <v>626</v>
      </c>
      <c r="F2550" s="3" t="s">
        <v>627</v>
      </c>
      <c r="G2550" s="3" t="s">
        <v>628</v>
      </c>
      <c r="H2550" s="3" t="s">
        <v>629</v>
      </c>
      <c r="I2550" s="3" t="s">
        <v>630</v>
      </c>
      <c r="J2550" s="3" t="s">
        <v>631</v>
      </c>
      <c r="K2550" s="3" t="s">
        <v>632</v>
      </c>
      <c r="L2550" s="3" t="s">
        <v>633</v>
      </c>
    </row>
    <row r="2551" spans="1:13">
      <c r="A2551" s="11" t="s">
        <v>681</v>
      </c>
      <c r="B2551" s="15">
        <f t="shared" ref="B2551:L2551" si="359">B2471+$B2540/$M2529*B2529</f>
        <v>11182182.267299153</v>
      </c>
      <c r="C2551" s="15">
        <f t="shared" si="359"/>
        <v>16629099.194571823</v>
      </c>
      <c r="D2551" s="15">
        <f t="shared" si="359"/>
        <v>1451493.2179667875</v>
      </c>
      <c r="E2551" s="15">
        <f t="shared" si="359"/>
        <v>4457867.4090615064</v>
      </c>
      <c r="F2551" s="15">
        <f t="shared" si="359"/>
        <v>4367602.1715681003</v>
      </c>
      <c r="G2551" s="15">
        <f t="shared" si="359"/>
        <v>1446100.002594115</v>
      </c>
      <c r="H2551" s="15">
        <f t="shared" si="359"/>
        <v>19933400.839927509</v>
      </c>
      <c r="I2551" s="15">
        <f t="shared" si="359"/>
        <v>6444670.0175437098</v>
      </c>
      <c r="J2551" s="15">
        <f t="shared" si="359"/>
        <v>11965257.260082113</v>
      </c>
      <c r="K2551" s="15">
        <f t="shared" si="359"/>
        <v>12704731.044785276</v>
      </c>
      <c r="L2551" s="15">
        <f t="shared" si="359"/>
        <v>208529.3070564878</v>
      </c>
      <c r="M2551" s="10"/>
    </row>
    <row r="2553" spans="1:13" ht="21" customHeight="1">
      <c r="A2553" s="1" t="s">
        <v>682</v>
      </c>
    </row>
    <row r="2554" spans="1:13">
      <c r="A2554" s="2" t="s">
        <v>255</v>
      </c>
    </row>
    <row r="2555" spans="1:13">
      <c r="A2555" s="12" t="s">
        <v>683</v>
      </c>
    </row>
    <row r="2556" spans="1:13">
      <c r="A2556" s="12" t="s">
        <v>684</v>
      </c>
    </row>
    <row r="2557" spans="1:13">
      <c r="A2557" s="2" t="s">
        <v>685</v>
      </c>
    </row>
    <row r="2559" spans="1:13" ht="30">
      <c r="B2559" s="3" t="s">
        <v>208</v>
      </c>
      <c r="C2559" s="3" t="s">
        <v>624</v>
      </c>
      <c r="D2559" s="3" t="s">
        <v>625</v>
      </c>
      <c r="E2559" s="3" t="s">
        <v>626</v>
      </c>
      <c r="F2559" s="3" t="s">
        <v>627</v>
      </c>
      <c r="G2559" s="3" t="s">
        <v>628</v>
      </c>
      <c r="H2559" s="3" t="s">
        <v>629</v>
      </c>
      <c r="I2559" s="3" t="s">
        <v>630</v>
      </c>
      <c r="J2559" s="3" t="s">
        <v>631</v>
      </c>
      <c r="K2559" s="3" t="s">
        <v>632</v>
      </c>
      <c r="L2559" s="3" t="s">
        <v>633</v>
      </c>
    </row>
    <row r="2560" spans="1:13">
      <c r="A2560" s="11" t="s">
        <v>686</v>
      </c>
      <c r="B2560" s="24" t="str">
        <f t="shared" ref="B2560:L2560" si="360">IF(B2529="","",IF(B2529&gt;0,B2551/B2529,0))</f>
        <v/>
      </c>
      <c r="C2560" s="24">
        <f t="shared" si="360"/>
        <v>3.3172321800620741E-2</v>
      </c>
      <c r="D2560" s="24">
        <f t="shared" si="360"/>
        <v>3.3172321800620741E-2</v>
      </c>
      <c r="E2560" s="24">
        <f t="shared" si="360"/>
        <v>3.3172321800620741E-2</v>
      </c>
      <c r="F2560" s="24">
        <f t="shared" si="360"/>
        <v>3.3172321800620741E-2</v>
      </c>
      <c r="G2560" s="24">
        <f t="shared" si="360"/>
        <v>3.3172321800620741E-2</v>
      </c>
      <c r="H2560" s="24">
        <f t="shared" si="360"/>
        <v>3.3172321800620741E-2</v>
      </c>
      <c r="I2560" s="24">
        <f t="shared" si="360"/>
        <v>3.3172321800620741E-2</v>
      </c>
      <c r="J2560" s="24">
        <f t="shared" si="360"/>
        <v>3.3172321800620741E-2</v>
      </c>
      <c r="K2560" s="24">
        <f t="shared" si="360"/>
        <v>3.3172321800620741E-2</v>
      </c>
      <c r="L2560" s="24">
        <f t="shared" si="360"/>
        <v>3.3172321800620741E-2</v>
      </c>
      <c r="M2560" s="10"/>
    </row>
    <row r="2562" spans="1:11" ht="21" customHeight="1">
      <c r="A2562" s="1" t="s">
        <v>687</v>
      </c>
    </row>
    <row r="2563" spans="1:11">
      <c r="A2563" s="2" t="s">
        <v>255</v>
      </c>
    </row>
    <row r="2564" spans="1:11">
      <c r="A2564" s="12" t="s">
        <v>688</v>
      </c>
    </row>
    <row r="2565" spans="1:11">
      <c r="A2565" s="12" t="s">
        <v>684</v>
      </c>
    </row>
    <row r="2566" spans="1:11">
      <c r="A2566" s="2" t="s">
        <v>689</v>
      </c>
    </row>
    <row r="2568" spans="1:11" ht="30">
      <c r="B2568" s="3" t="s">
        <v>208</v>
      </c>
      <c r="C2568" s="3" t="s">
        <v>624</v>
      </c>
      <c r="D2568" s="3" t="s">
        <v>625</v>
      </c>
      <c r="E2568" s="3" t="s">
        <v>626</v>
      </c>
      <c r="F2568" s="3" t="s">
        <v>627</v>
      </c>
      <c r="G2568" s="3" t="s">
        <v>628</v>
      </c>
      <c r="H2568" s="3" t="s">
        <v>629</v>
      </c>
      <c r="I2568" s="3" t="s">
        <v>630</v>
      </c>
      <c r="J2568" s="3" t="s">
        <v>631</v>
      </c>
    </row>
    <row r="2569" spans="1:11" ht="30">
      <c r="A2569" s="11" t="s">
        <v>690</v>
      </c>
      <c r="B2569" s="6">
        <f>IF(B2460&gt;0,$B2551/B2460,0)</f>
        <v>6.8095738880868391</v>
      </c>
      <c r="C2569" s="6">
        <f>IF(C2460&gt;0,$C2551/C2460,0)</f>
        <v>10.127207430697011</v>
      </c>
      <c r="D2569" s="6">
        <f>IF(D2460&gt;0,$D2551/D2460,0)</f>
        <v>1.283541209796216</v>
      </c>
      <c r="E2569" s="6">
        <f>IF(E2460&gt;0,$E2551/E2460,0)</f>
        <v>3.8568070383615249</v>
      </c>
      <c r="F2569" s="6">
        <f>IF(F2460&gt;0,$F2551/F2460,0)</f>
        <v>3.3812060022457811</v>
      </c>
      <c r="G2569" s="6">
        <f>IF(G2460&gt;0,$G2551/G2460,0)</f>
        <v>2.5405314750518144</v>
      </c>
      <c r="H2569" s="6">
        <f>IF(H2460&gt;0,$H2551/H2460,0)</f>
        <v>11.516317477290654</v>
      </c>
      <c r="I2569" s="6">
        <f>IF(I2460&gt;0,$I2551/I2460,0)</f>
        <v>4.5347828010383937</v>
      </c>
      <c r="J2569" s="6">
        <f>IF(J2460&gt;0,$J2551/J2460,0)</f>
        <v>9.5239306490628994</v>
      </c>
      <c r="K2569" s="10"/>
    </row>
    <row r="2571" spans="1:11" ht="21" customHeight="1">
      <c r="A2571" s="1" t="s">
        <v>691</v>
      </c>
    </row>
    <row r="2572" spans="1:11">
      <c r="A2572" s="2" t="s">
        <v>255</v>
      </c>
    </row>
    <row r="2573" spans="1:11">
      <c r="A2573" s="12" t="s">
        <v>381</v>
      </c>
    </row>
    <row r="2574" spans="1:11">
      <c r="A2574" s="12" t="s">
        <v>692</v>
      </c>
    </row>
    <row r="2575" spans="1:11">
      <c r="A2575" s="12" t="s">
        <v>693</v>
      </c>
    </row>
    <row r="2576" spans="1:11">
      <c r="A2576" s="12" t="s">
        <v>694</v>
      </c>
    </row>
    <row r="2577" spans="1:5">
      <c r="A2577" s="21" t="s">
        <v>258</v>
      </c>
      <c r="B2577" s="21" t="s">
        <v>385</v>
      </c>
      <c r="C2577" s="21"/>
      <c r="D2577" s="21" t="s">
        <v>386</v>
      </c>
    </row>
    <row r="2578" spans="1:5">
      <c r="A2578" s="21" t="s">
        <v>261</v>
      </c>
      <c r="B2578" s="21" t="s">
        <v>695</v>
      </c>
      <c r="C2578" s="21"/>
      <c r="D2578" s="21" t="s">
        <v>439</v>
      </c>
    </row>
    <row r="2580" spans="1:5">
      <c r="B2580" s="20" t="s">
        <v>696</v>
      </c>
      <c r="C2580" s="20"/>
    </row>
    <row r="2581" spans="1:5" ht="45">
      <c r="B2581" s="3" t="s">
        <v>632</v>
      </c>
      <c r="C2581" s="3" t="s">
        <v>633</v>
      </c>
      <c r="D2581" s="3" t="s">
        <v>697</v>
      </c>
    </row>
    <row r="2582" spans="1:5">
      <c r="A2582" s="11" t="s">
        <v>92</v>
      </c>
      <c r="B2582" s="6">
        <f t="shared" ref="B2582:B2608" si="361">100/$F$14*$K$2560*$B801</f>
        <v>2.5335305905622341</v>
      </c>
      <c r="C2582" s="6">
        <f t="shared" ref="C2582:C2608" si="362">100/$F$14*$L$2560*$C801</f>
        <v>0</v>
      </c>
      <c r="D2582" s="6">
        <f t="shared" ref="D2582:D2608" si="363">SUM($B2582:$C2582)</f>
        <v>2.5335305905622341</v>
      </c>
      <c r="E2582" s="10"/>
    </row>
    <row r="2583" spans="1:5">
      <c r="A2583" s="11" t="s">
        <v>93</v>
      </c>
      <c r="B2583" s="6">
        <f t="shared" si="361"/>
        <v>2.5335305905622341</v>
      </c>
      <c r="C2583" s="6">
        <f t="shared" si="362"/>
        <v>0</v>
      </c>
      <c r="D2583" s="6">
        <f t="shared" si="363"/>
        <v>2.5335305905622341</v>
      </c>
      <c r="E2583" s="10"/>
    </row>
    <row r="2584" spans="1:5">
      <c r="A2584" s="11" t="s">
        <v>129</v>
      </c>
      <c r="B2584" s="6">
        <f t="shared" si="361"/>
        <v>0</v>
      </c>
      <c r="C2584" s="6">
        <f t="shared" si="362"/>
        <v>0</v>
      </c>
      <c r="D2584" s="6">
        <f t="shared" si="363"/>
        <v>0</v>
      </c>
      <c r="E2584" s="10"/>
    </row>
    <row r="2585" spans="1:5">
      <c r="A2585" s="11" t="s">
        <v>94</v>
      </c>
      <c r="B2585" s="6">
        <f t="shared" si="361"/>
        <v>5.6999372295150295</v>
      </c>
      <c r="C2585" s="6">
        <f t="shared" si="362"/>
        <v>0</v>
      </c>
      <c r="D2585" s="6">
        <f t="shared" si="363"/>
        <v>5.6999372295150295</v>
      </c>
      <c r="E2585" s="10"/>
    </row>
    <row r="2586" spans="1:5">
      <c r="A2586" s="11" t="s">
        <v>95</v>
      </c>
      <c r="B2586" s="6">
        <f t="shared" si="361"/>
        <v>5.6999372295150295</v>
      </c>
      <c r="C2586" s="6">
        <f t="shared" si="362"/>
        <v>0</v>
      </c>
      <c r="D2586" s="6">
        <f t="shared" si="363"/>
        <v>5.6999372295150295</v>
      </c>
      <c r="E2586" s="10"/>
    </row>
    <row r="2587" spans="1:5">
      <c r="A2587" s="11" t="s">
        <v>130</v>
      </c>
      <c r="B2587" s="6">
        <f t="shared" si="361"/>
        <v>0</v>
      </c>
      <c r="C2587" s="6">
        <f t="shared" si="362"/>
        <v>0</v>
      </c>
      <c r="D2587" s="6">
        <f t="shared" si="363"/>
        <v>0</v>
      </c>
      <c r="E2587" s="10"/>
    </row>
    <row r="2588" spans="1:5">
      <c r="A2588" s="11" t="s">
        <v>96</v>
      </c>
      <c r="B2588" s="6">
        <f t="shared" si="361"/>
        <v>6.939632967904525</v>
      </c>
      <c r="C2588" s="6">
        <f t="shared" si="362"/>
        <v>0</v>
      </c>
      <c r="D2588" s="6">
        <f t="shared" si="363"/>
        <v>6.939632967904525</v>
      </c>
      <c r="E2588" s="10"/>
    </row>
    <row r="2589" spans="1:5">
      <c r="A2589" s="11" t="s">
        <v>97</v>
      </c>
      <c r="B2589" s="6">
        <f t="shared" si="361"/>
        <v>5.146570375629584</v>
      </c>
      <c r="C2589" s="6">
        <f t="shared" si="362"/>
        <v>0</v>
      </c>
      <c r="D2589" s="6">
        <f t="shared" si="363"/>
        <v>5.146570375629584</v>
      </c>
      <c r="E2589" s="10"/>
    </row>
    <row r="2590" spans="1:5">
      <c r="A2590" s="11" t="s">
        <v>110</v>
      </c>
      <c r="B2590" s="6">
        <f t="shared" si="361"/>
        <v>0</v>
      </c>
      <c r="C2590" s="6">
        <f t="shared" si="362"/>
        <v>89.399118103702705</v>
      </c>
      <c r="D2590" s="6">
        <f t="shared" si="363"/>
        <v>89.399118103702705</v>
      </c>
      <c r="E2590" s="10"/>
    </row>
    <row r="2591" spans="1:5">
      <c r="A2591" s="11" t="s">
        <v>1647</v>
      </c>
      <c r="B2591" s="6">
        <f t="shared" si="361"/>
        <v>2.5335305905622341</v>
      </c>
      <c r="C2591" s="6">
        <f t="shared" si="362"/>
        <v>0</v>
      </c>
      <c r="D2591" s="6">
        <f t="shared" si="363"/>
        <v>2.5335305905622341</v>
      </c>
      <c r="E2591" s="10"/>
    </row>
    <row r="2592" spans="1:5">
      <c r="A2592" s="11" t="s">
        <v>1646</v>
      </c>
      <c r="B2592" s="6">
        <f t="shared" si="361"/>
        <v>5.6999372295150295</v>
      </c>
      <c r="C2592" s="6">
        <f t="shared" si="362"/>
        <v>0</v>
      </c>
      <c r="D2592" s="6">
        <f t="shared" si="363"/>
        <v>5.6999372295150295</v>
      </c>
      <c r="E2592" s="10"/>
    </row>
    <row r="2593" spans="1:5">
      <c r="A2593" s="11" t="s">
        <v>98</v>
      </c>
      <c r="B2593" s="6">
        <f t="shared" si="361"/>
        <v>11.699299796364846</v>
      </c>
      <c r="C2593" s="6">
        <f t="shared" si="362"/>
        <v>0</v>
      </c>
      <c r="D2593" s="6">
        <f t="shared" si="363"/>
        <v>11.699299796364846</v>
      </c>
      <c r="E2593" s="10"/>
    </row>
    <row r="2594" spans="1:5">
      <c r="A2594" s="11" t="s">
        <v>99</v>
      </c>
      <c r="B2594" s="6">
        <f t="shared" si="361"/>
        <v>9.0109538407300178</v>
      </c>
      <c r="C2594" s="6">
        <f t="shared" si="362"/>
        <v>0</v>
      </c>
      <c r="D2594" s="6">
        <f t="shared" si="363"/>
        <v>9.0109538407300178</v>
      </c>
      <c r="E2594" s="10"/>
    </row>
    <row r="2595" spans="1:5">
      <c r="A2595" s="11" t="s">
        <v>111</v>
      </c>
      <c r="B2595" s="6">
        <f t="shared" si="361"/>
        <v>0</v>
      </c>
      <c r="C2595" s="6">
        <f t="shared" si="362"/>
        <v>89.399118103702705</v>
      </c>
      <c r="D2595" s="6">
        <f t="shared" si="363"/>
        <v>89.399118103702705</v>
      </c>
      <c r="E2595" s="10"/>
    </row>
    <row r="2596" spans="1:5">
      <c r="A2596" s="11" t="s">
        <v>131</v>
      </c>
      <c r="B2596" s="6">
        <f t="shared" si="361"/>
        <v>0</v>
      </c>
      <c r="C2596" s="6">
        <f t="shared" si="362"/>
        <v>0</v>
      </c>
      <c r="D2596" s="6">
        <f t="shared" si="363"/>
        <v>0</v>
      </c>
      <c r="E2596" s="10"/>
    </row>
    <row r="2597" spans="1:5">
      <c r="A2597" s="11" t="s">
        <v>132</v>
      </c>
      <c r="B2597" s="6">
        <f t="shared" si="361"/>
        <v>0</v>
      </c>
      <c r="C2597" s="6">
        <f t="shared" si="362"/>
        <v>0</v>
      </c>
      <c r="D2597" s="6">
        <f t="shared" si="363"/>
        <v>0</v>
      </c>
      <c r="E2597" s="10"/>
    </row>
    <row r="2598" spans="1:5">
      <c r="A2598" s="11" t="s">
        <v>133</v>
      </c>
      <c r="B2598" s="6">
        <f t="shared" si="361"/>
        <v>0</v>
      </c>
      <c r="C2598" s="6">
        <f t="shared" si="362"/>
        <v>0</v>
      </c>
      <c r="D2598" s="6">
        <f t="shared" si="363"/>
        <v>0</v>
      </c>
      <c r="E2598" s="10"/>
    </row>
    <row r="2599" spans="1:5">
      <c r="A2599" s="11" t="s">
        <v>134</v>
      </c>
      <c r="B2599" s="6">
        <f t="shared" si="361"/>
        <v>0</v>
      </c>
      <c r="C2599" s="6">
        <f t="shared" si="362"/>
        <v>0</v>
      </c>
      <c r="D2599" s="6">
        <f t="shared" si="363"/>
        <v>0</v>
      </c>
      <c r="E2599" s="10"/>
    </row>
    <row r="2600" spans="1:5">
      <c r="A2600" s="11" t="s">
        <v>135</v>
      </c>
      <c r="B2600" s="6">
        <f t="shared" si="361"/>
        <v>0</v>
      </c>
      <c r="C2600" s="6">
        <f t="shared" si="362"/>
        <v>0</v>
      </c>
      <c r="D2600" s="6">
        <f t="shared" si="363"/>
        <v>0</v>
      </c>
      <c r="E2600" s="10"/>
    </row>
    <row r="2601" spans="1:5">
      <c r="A2601" s="11" t="s">
        <v>1645</v>
      </c>
      <c r="B2601" s="6">
        <f t="shared" si="361"/>
        <v>0</v>
      </c>
      <c r="C2601" s="6">
        <f t="shared" si="362"/>
        <v>0</v>
      </c>
      <c r="D2601" s="6">
        <f t="shared" si="363"/>
        <v>0</v>
      </c>
      <c r="E2601" s="10"/>
    </row>
    <row r="2602" spans="1:5">
      <c r="A2602" s="11" t="s">
        <v>100</v>
      </c>
      <c r="B2602" s="6">
        <f t="shared" si="361"/>
        <v>0</v>
      </c>
      <c r="C2602" s="6">
        <f t="shared" si="362"/>
        <v>0</v>
      </c>
      <c r="D2602" s="6">
        <f t="shared" si="363"/>
        <v>0</v>
      </c>
      <c r="E2602" s="10"/>
    </row>
    <row r="2603" spans="1:5">
      <c r="A2603" s="11" t="s">
        <v>101</v>
      </c>
      <c r="B2603" s="6">
        <f t="shared" si="361"/>
        <v>0</v>
      </c>
      <c r="C2603" s="6">
        <f t="shared" si="362"/>
        <v>0</v>
      </c>
      <c r="D2603" s="6">
        <f t="shared" si="363"/>
        <v>0</v>
      </c>
      <c r="E2603" s="10"/>
    </row>
    <row r="2604" spans="1:5">
      <c r="A2604" s="11" t="s">
        <v>102</v>
      </c>
      <c r="B2604" s="6">
        <f t="shared" si="361"/>
        <v>0</v>
      </c>
      <c r="C2604" s="6">
        <f t="shared" si="362"/>
        <v>0</v>
      </c>
      <c r="D2604" s="6">
        <f t="shared" si="363"/>
        <v>0</v>
      </c>
      <c r="E2604" s="10"/>
    </row>
    <row r="2605" spans="1:5">
      <c r="A2605" s="11" t="s">
        <v>103</v>
      </c>
      <c r="B2605" s="6">
        <f t="shared" si="361"/>
        <v>0</v>
      </c>
      <c r="C2605" s="6">
        <f t="shared" si="362"/>
        <v>0</v>
      </c>
      <c r="D2605" s="6">
        <f t="shared" si="363"/>
        <v>0</v>
      </c>
      <c r="E2605" s="10"/>
    </row>
    <row r="2606" spans="1:5">
      <c r="A2606" s="11" t="s">
        <v>104</v>
      </c>
      <c r="B2606" s="6">
        <f t="shared" si="361"/>
        <v>0</v>
      </c>
      <c r="C2606" s="6">
        <f t="shared" si="362"/>
        <v>0</v>
      </c>
      <c r="D2606" s="6">
        <f t="shared" si="363"/>
        <v>0</v>
      </c>
      <c r="E2606" s="10"/>
    </row>
    <row r="2607" spans="1:5">
      <c r="A2607" s="11" t="s">
        <v>112</v>
      </c>
      <c r="B2607" s="6">
        <f t="shared" si="361"/>
        <v>0</v>
      </c>
      <c r="C2607" s="6">
        <f t="shared" si="362"/>
        <v>43.102334840579751</v>
      </c>
      <c r="D2607" s="6">
        <f t="shared" si="363"/>
        <v>43.102334840579751</v>
      </c>
      <c r="E2607" s="10"/>
    </row>
    <row r="2608" spans="1:5">
      <c r="A2608" s="11" t="s">
        <v>113</v>
      </c>
      <c r="B2608" s="6">
        <f t="shared" si="361"/>
        <v>0</v>
      </c>
      <c r="C2608" s="6">
        <f t="shared" si="362"/>
        <v>43.102334840579751</v>
      </c>
      <c r="D2608" s="6">
        <f t="shared" si="363"/>
        <v>43.102334840579751</v>
      </c>
      <c r="E2608" s="10"/>
    </row>
    <row r="2610" spans="1:3" ht="21" customHeight="1">
      <c r="A2610" s="1" t="s">
        <v>698</v>
      </c>
    </row>
    <row r="2611" spans="1:3">
      <c r="A2611" s="2" t="s">
        <v>255</v>
      </c>
    </row>
    <row r="2612" spans="1:3">
      <c r="A2612" s="12" t="s">
        <v>699</v>
      </c>
    </row>
    <row r="2613" spans="1:3">
      <c r="A2613" s="12" t="s">
        <v>370</v>
      </c>
    </row>
    <row r="2614" spans="1:3">
      <c r="A2614" s="2" t="s">
        <v>700</v>
      </c>
    </row>
    <row r="2616" spans="1:3" ht="30">
      <c r="B2616" s="3" t="s">
        <v>632</v>
      </c>
    </row>
    <row r="2617" spans="1:3">
      <c r="A2617" s="11" t="s">
        <v>131</v>
      </c>
      <c r="B2617" s="6">
        <f>0.1*$K$2560*$B$770</f>
        <v>0.8410505145630508</v>
      </c>
      <c r="C2617" s="10"/>
    </row>
    <row r="2618" spans="1:3">
      <c r="A2618" s="11" t="s">
        <v>132</v>
      </c>
      <c r="B2618" s="6">
        <f>0.1*$K$2560*$B$770</f>
        <v>0.8410505145630508</v>
      </c>
      <c r="C2618" s="10"/>
    </row>
    <row r="2619" spans="1:3">
      <c r="A2619" s="11" t="s">
        <v>133</v>
      </c>
      <c r="B2619" s="6">
        <f>0.1*$K$2560*$B$770</f>
        <v>0.8410505145630508</v>
      </c>
      <c r="C2619" s="10"/>
    </row>
    <row r="2620" spans="1:3">
      <c r="A2620" s="11" t="s">
        <v>134</v>
      </c>
      <c r="B2620" s="6">
        <f>0.1*$K$2560*$B$770</f>
        <v>0.8410505145630508</v>
      </c>
      <c r="C2620" s="10"/>
    </row>
    <row r="2621" spans="1:3">
      <c r="A2621" s="11" t="s">
        <v>135</v>
      </c>
      <c r="B2621" s="6">
        <f>0.1*$K$2560*$B$770</f>
        <v>0.8410505145630508</v>
      </c>
      <c r="C2621" s="10"/>
    </row>
    <row r="2623" spans="1:3" ht="21" customHeight="1">
      <c r="A2623" s="1" t="str">
        <f>"Customer contributions"&amp;" for "&amp;CDCM!B7&amp;" in "&amp;CDCM!C7&amp;" ("&amp;CDCM!D7&amp;")"</f>
        <v>Customer contributions for 0 in 0 (0)</v>
      </c>
    </row>
    <row r="2624" spans="1:3">
      <c r="A2624" s="2" t="s">
        <v>701</v>
      </c>
    </row>
    <row r="2626" spans="1:6" ht="21" customHeight="1">
      <c r="A2626" s="1" t="s">
        <v>702</v>
      </c>
    </row>
    <row r="2628" spans="1:6">
      <c r="B2628" s="3" t="s">
        <v>228</v>
      </c>
      <c r="C2628" s="3" t="s">
        <v>229</v>
      </c>
      <c r="D2628" s="3" t="s">
        <v>230</v>
      </c>
      <c r="E2628" s="3" t="s">
        <v>231</v>
      </c>
    </row>
    <row r="2629" spans="1:6">
      <c r="A2629" s="11" t="s">
        <v>92</v>
      </c>
      <c r="B2629" s="25">
        <v>1</v>
      </c>
      <c r="C2629" s="25">
        <v>0</v>
      </c>
      <c r="D2629" s="25">
        <v>0</v>
      </c>
      <c r="E2629" s="25">
        <v>0</v>
      </c>
      <c r="F2629" s="10"/>
    </row>
    <row r="2630" spans="1:6">
      <c r="A2630" s="11" t="s">
        <v>93</v>
      </c>
      <c r="B2630" s="25">
        <v>1</v>
      </c>
      <c r="C2630" s="25">
        <v>0</v>
      </c>
      <c r="D2630" s="25">
        <v>0</v>
      </c>
      <c r="E2630" s="25">
        <v>0</v>
      </c>
      <c r="F2630" s="10"/>
    </row>
    <row r="2631" spans="1:6">
      <c r="A2631" s="11" t="s">
        <v>129</v>
      </c>
      <c r="B2631" s="25">
        <v>1</v>
      </c>
      <c r="C2631" s="25">
        <v>0</v>
      </c>
      <c r="D2631" s="25">
        <v>0</v>
      </c>
      <c r="E2631" s="25">
        <v>0</v>
      </c>
      <c r="F2631" s="10"/>
    </row>
    <row r="2632" spans="1:6">
      <c r="A2632" s="11" t="s">
        <v>94</v>
      </c>
      <c r="B2632" s="25">
        <v>1</v>
      </c>
      <c r="C2632" s="25">
        <v>0</v>
      </c>
      <c r="D2632" s="25">
        <v>0</v>
      </c>
      <c r="E2632" s="25">
        <v>0</v>
      </c>
      <c r="F2632" s="10"/>
    </row>
    <row r="2633" spans="1:6">
      <c r="A2633" s="11" t="s">
        <v>95</v>
      </c>
      <c r="B2633" s="25">
        <v>1</v>
      </c>
      <c r="C2633" s="25">
        <v>0</v>
      </c>
      <c r="D2633" s="25">
        <v>0</v>
      </c>
      <c r="E2633" s="25">
        <v>0</v>
      </c>
      <c r="F2633" s="10"/>
    </row>
    <row r="2634" spans="1:6">
      <c r="A2634" s="11" t="s">
        <v>130</v>
      </c>
      <c r="B2634" s="25">
        <v>1</v>
      </c>
      <c r="C2634" s="25">
        <v>0</v>
      </c>
      <c r="D2634" s="25">
        <v>0</v>
      </c>
      <c r="E2634" s="25">
        <v>0</v>
      </c>
      <c r="F2634" s="10"/>
    </row>
    <row r="2635" spans="1:6">
      <c r="A2635" s="11" t="s">
        <v>96</v>
      </c>
      <c r="B2635" s="25">
        <v>1</v>
      </c>
      <c r="C2635" s="25">
        <v>0</v>
      </c>
      <c r="D2635" s="25">
        <v>0</v>
      </c>
      <c r="E2635" s="25">
        <v>0</v>
      </c>
      <c r="F2635" s="10"/>
    </row>
    <row r="2636" spans="1:6">
      <c r="A2636" s="11" t="s">
        <v>97</v>
      </c>
      <c r="B2636" s="25">
        <v>0</v>
      </c>
      <c r="C2636" s="25">
        <v>1</v>
      </c>
      <c r="D2636" s="25">
        <v>0</v>
      </c>
      <c r="E2636" s="25">
        <v>0</v>
      </c>
      <c r="F2636" s="10"/>
    </row>
    <row r="2637" spans="1:6">
      <c r="A2637" s="11" t="s">
        <v>110</v>
      </c>
      <c r="B2637" s="25">
        <v>0</v>
      </c>
      <c r="C2637" s="25">
        <v>0</v>
      </c>
      <c r="D2637" s="25">
        <v>1</v>
      </c>
      <c r="E2637" s="25">
        <v>0</v>
      </c>
      <c r="F2637" s="10"/>
    </row>
    <row r="2638" spans="1:6">
      <c r="A2638" s="11" t="s">
        <v>1647</v>
      </c>
      <c r="B2638" s="25">
        <v>1</v>
      </c>
      <c r="C2638" s="25">
        <v>0</v>
      </c>
      <c r="D2638" s="25">
        <v>0</v>
      </c>
      <c r="E2638" s="25">
        <v>0</v>
      </c>
      <c r="F2638" s="10"/>
    </row>
    <row r="2639" spans="1:6">
      <c r="A2639" s="11" t="s">
        <v>1646</v>
      </c>
      <c r="B2639" s="25">
        <v>1</v>
      </c>
      <c r="C2639" s="25">
        <v>0</v>
      </c>
      <c r="D2639" s="25">
        <v>0</v>
      </c>
      <c r="E2639" s="25">
        <v>0</v>
      </c>
      <c r="F2639" s="10"/>
    </row>
    <row r="2640" spans="1:6">
      <c r="A2640" s="11" t="s">
        <v>98</v>
      </c>
      <c r="B2640" s="25">
        <v>1</v>
      </c>
      <c r="C2640" s="25">
        <v>0</v>
      </c>
      <c r="D2640" s="25">
        <v>0</v>
      </c>
      <c r="E2640" s="25">
        <v>0</v>
      </c>
      <c r="F2640" s="10"/>
    </row>
    <row r="2641" spans="1:6">
      <c r="A2641" s="11" t="s">
        <v>99</v>
      </c>
      <c r="B2641" s="25">
        <v>0</v>
      </c>
      <c r="C2641" s="25">
        <v>1</v>
      </c>
      <c r="D2641" s="25">
        <v>0</v>
      </c>
      <c r="E2641" s="25">
        <v>0</v>
      </c>
      <c r="F2641" s="10"/>
    </row>
    <row r="2642" spans="1:6">
      <c r="A2642" s="11" t="s">
        <v>111</v>
      </c>
      <c r="B2642" s="25">
        <v>0</v>
      </c>
      <c r="C2642" s="25">
        <v>0</v>
      </c>
      <c r="D2642" s="25">
        <v>1</v>
      </c>
      <c r="E2642" s="25">
        <v>0</v>
      </c>
      <c r="F2642" s="10"/>
    </row>
    <row r="2643" spans="1:6">
      <c r="A2643" s="11" t="s">
        <v>131</v>
      </c>
      <c r="B2643" s="25">
        <v>1</v>
      </c>
      <c r="C2643" s="25">
        <v>0</v>
      </c>
      <c r="D2643" s="25">
        <v>0</v>
      </c>
      <c r="E2643" s="25">
        <v>0</v>
      </c>
      <c r="F2643" s="10"/>
    </row>
    <row r="2644" spans="1:6">
      <c r="A2644" s="11" t="s">
        <v>132</v>
      </c>
      <c r="B2644" s="25">
        <v>1</v>
      </c>
      <c r="C2644" s="25">
        <v>0</v>
      </c>
      <c r="D2644" s="25">
        <v>0</v>
      </c>
      <c r="E2644" s="25">
        <v>0</v>
      </c>
      <c r="F2644" s="10"/>
    </row>
    <row r="2645" spans="1:6">
      <c r="A2645" s="11" t="s">
        <v>133</v>
      </c>
      <c r="B2645" s="25">
        <v>1</v>
      </c>
      <c r="C2645" s="25">
        <v>0</v>
      </c>
      <c r="D2645" s="25">
        <v>0</v>
      </c>
      <c r="E2645" s="25">
        <v>0</v>
      </c>
      <c r="F2645" s="10"/>
    </row>
    <row r="2646" spans="1:6">
      <c r="A2646" s="11" t="s">
        <v>134</v>
      </c>
      <c r="B2646" s="25">
        <v>1</v>
      </c>
      <c r="C2646" s="25">
        <v>0</v>
      </c>
      <c r="D2646" s="25">
        <v>0</v>
      </c>
      <c r="E2646" s="25">
        <v>0</v>
      </c>
      <c r="F2646" s="10"/>
    </row>
    <row r="2647" spans="1:6">
      <c r="A2647" s="11" t="s">
        <v>135</v>
      </c>
      <c r="B2647" s="25">
        <v>1</v>
      </c>
      <c r="C2647" s="25">
        <v>0</v>
      </c>
      <c r="D2647" s="25">
        <v>0</v>
      </c>
      <c r="E2647" s="25">
        <v>0</v>
      </c>
      <c r="F2647" s="10"/>
    </row>
    <row r="2648" spans="1:6">
      <c r="A2648" s="11" t="s">
        <v>1645</v>
      </c>
      <c r="B2648" s="25">
        <v>1</v>
      </c>
      <c r="C2648" s="25">
        <v>0</v>
      </c>
      <c r="D2648" s="25">
        <v>0</v>
      </c>
      <c r="E2648" s="25">
        <v>0</v>
      </c>
      <c r="F2648" s="10"/>
    </row>
    <row r="2649" spans="1:6">
      <c r="A2649" s="11" t="s">
        <v>100</v>
      </c>
      <c r="B2649" s="25">
        <v>0</v>
      </c>
      <c r="C2649" s="25">
        <v>1</v>
      </c>
      <c r="D2649" s="25">
        <v>0</v>
      </c>
      <c r="E2649" s="25">
        <v>0</v>
      </c>
      <c r="F2649" s="10"/>
    </row>
    <row r="2650" spans="1:6">
      <c r="A2650" s="11" t="s">
        <v>101</v>
      </c>
      <c r="B2650" s="25">
        <v>1</v>
      </c>
      <c r="C2650" s="25">
        <v>0</v>
      </c>
      <c r="D2650" s="25">
        <v>0</v>
      </c>
      <c r="E2650" s="25">
        <v>0</v>
      </c>
      <c r="F2650" s="10"/>
    </row>
    <row r="2651" spans="1:6">
      <c r="A2651" s="11" t="s">
        <v>102</v>
      </c>
      <c r="B2651" s="25">
        <v>1</v>
      </c>
      <c r="C2651" s="25">
        <v>0</v>
      </c>
      <c r="D2651" s="25">
        <v>0</v>
      </c>
      <c r="E2651" s="25">
        <v>0</v>
      </c>
      <c r="F2651" s="10"/>
    </row>
    <row r="2652" spans="1:6">
      <c r="A2652" s="11" t="s">
        <v>103</v>
      </c>
      <c r="B2652" s="25">
        <v>0</v>
      </c>
      <c r="C2652" s="25">
        <v>1</v>
      </c>
      <c r="D2652" s="25">
        <v>0</v>
      </c>
      <c r="E2652" s="25">
        <v>0</v>
      </c>
      <c r="F2652" s="10"/>
    </row>
    <row r="2653" spans="1:6">
      <c r="A2653" s="11" t="s">
        <v>104</v>
      </c>
      <c r="B2653" s="25">
        <v>0</v>
      </c>
      <c r="C2653" s="25">
        <v>1</v>
      </c>
      <c r="D2653" s="25">
        <v>0</v>
      </c>
      <c r="E2653" s="25">
        <v>0</v>
      </c>
      <c r="F2653" s="10"/>
    </row>
    <row r="2654" spans="1:6">
      <c r="A2654" s="11" t="s">
        <v>112</v>
      </c>
      <c r="B2654" s="25">
        <v>0</v>
      </c>
      <c r="C2654" s="25">
        <v>0</v>
      </c>
      <c r="D2654" s="25">
        <v>1</v>
      </c>
      <c r="E2654" s="25">
        <v>0</v>
      </c>
      <c r="F2654" s="10"/>
    </row>
    <row r="2655" spans="1:6">
      <c r="A2655" s="11" t="s">
        <v>113</v>
      </c>
      <c r="B2655" s="25">
        <v>0</v>
      </c>
      <c r="C2655" s="25">
        <v>0</v>
      </c>
      <c r="D2655" s="25">
        <v>1</v>
      </c>
      <c r="E2655" s="25">
        <v>0</v>
      </c>
      <c r="F2655" s="10"/>
    </row>
    <row r="2657" spans="1:6" ht="21" customHeight="1">
      <c r="A2657" s="1" t="s">
        <v>703</v>
      </c>
    </row>
    <row r="2658" spans="1:6">
      <c r="A2658" s="2" t="s">
        <v>255</v>
      </c>
    </row>
    <row r="2659" spans="1:6">
      <c r="A2659" s="12" t="s">
        <v>704</v>
      </c>
    </row>
    <row r="2660" spans="1:6">
      <c r="A2660" s="12" t="s">
        <v>705</v>
      </c>
    </row>
    <row r="2661" spans="1:6">
      <c r="A2661" s="2" t="s">
        <v>706</v>
      </c>
    </row>
    <row r="2663" spans="1:6">
      <c r="B2663" s="3" t="s">
        <v>228</v>
      </c>
      <c r="C2663" s="3" t="s">
        <v>229</v>
      </c>
      <c r="D2663" s="3" t="s">
        <v>230</v>
      </c>
      <c r="E2663" s="3" t="s">
        <v>231</v>
      </c>
    </row>
    <row r="2664" spans="1:6">
      <c r="A2664" s="11" t="s">
        <v>352</v>
      </c>
      <c r="B2664" s="24">
        <f>$B$257*(1-$D$14)</f>
        <v>0</v>
      </c>
      <c r="C2664" s="24">
        <f>$B$258*(1-$D$14)</f>
        <v>0</v>
      </c>
      <c r="D2664" s="24">
        <f>$B$259*(1-$D$14)</f>
        <v>0</v>
      </c>
      <c r="E2664" s="24">
        <f>$B$260*(1-$D$14)</f>
        <v>0</v>
      </c>
      <c r="F2664" s="10"/>
    </row>
    <row r="2665" spans="1:6">
      <c r="A2665" s="11" t="s">
        <v>353</v>
      </c>
      <c r="B2665" s="24">
        <f>$C$257*(1-$D$14)</f>
        <v>0</v>
      </c>
      <c r="C2665" s="24">
        <f>$C$258*(1-$D$14)</f>
        <v>0</v>
      </c>
      <c r="D2665" s="24">
        <f>$C$259*(1-$D$14)</f>
        <v>0.36</v>
      </c>
      <c r="E2665" s="24">
        <f>$C$260*(1-$D$14)</f>
        <v>0.36</v>
      </c>
      <c r="F2665" s="10"/>
    </row>
    <row r="2666" spans="1:6">
      <c r="A2666" s="11" t="s">
        <v>354</v>
      </c>
      <c r="B2666" s="24">
        <f>$D$257*(1-$D$14)</f>
        <v>0</v>
      </c>
      <c r="C2666" s="24">
        <f>$D$258*(1-$D$14)</f>
        <v>0</v>
      </c>
      <c r="D2666" s="24">
        <f>$D$259*(1-$D$14)</f>
        <v>0.36</v>
      </c>
      <c r="E2666" s="24">
        <f>$D$260*(1-$D$14)</f>
        <v>0.36</v>
      </c>
      <c r="F2666" s="10"/>
    </row>
    <row r="2667" spans="1:6">
      <c r="A2667" s="11" t="s">
        <v>355</v>
      </c>
      <c r="B2667" s="24">
        <f>$E$257*(1-$D$14)</f>
        <v>0.75</v>
      </c>
      <c r="C2667" s="24">
        <f>$E$258*(1-$D$14)</f>
        <v>0.75</v>
      </c>
      <c r="D2667" s="24">
        <f>$E$259*(1-$D$14)</f>
        <v>0.91</v>
      </c>
      <c r="E2667" s="24">
        <f>$E$260*(1-$D$14)</f>
        <v>0.91</v>
      </c>
      <c r="F2667" s="10"/>
    </row>
    <row r="2668" spans="1:6">
      <c r="A2668" s="11" t="s">
        <v>356</v>
      </c>
      <c r="B2668" s="24">
        <f>$F$257*(1-$D$14)</f>
        <v>0.75</v>
      </c>
      <c r="C2668" s="24">
        <f>$F$258*(1-$D$14)</f>
        <v>0.75</v>
      </c>
      <c r="D2668" s="24">
        <f>$F$259*(1-$D$14)</f>
        <v>0.91</v>
      </c>
      <c r="E2668" s="24">
        <f>$F$260*(1-$D$14)</f>
        <v>0</v>
      </c>
      <c r="F2668" s="10"/>
    </row>
    <row r="2669" spans="1:6">
      <c r="A2669" s="11" t="s">
        <v>357</v>
      </c>
      <c r="B2669" s="24">
        <f>$G$257*(1-$D$14)</f>
        <v>0.75</v>
      </c>
      <c r="C2669" s="24">
        <f>$G$258*(1-$D$14)</f>
        <v>0.75</v>
      </c>
      <c r="D2669" s="24">
        <f>$G$259*(1-$D$14)</f>
        <v>0.91</v>
      </c>
      <c r="E2669" s="24">
        <f>$G$260*(1-$D$14)</f>
        <v>0</v>
      </c>
      <c r="F2669" s="10"/>
    </row>
    <row r="2670" spans="1:6">
      <c r="A2670" s="11" t="s">
        <v>358</v>
      </c>
      <c r="B2670" s="24">
        <f>$H$257*(1-$D$14)</f>
        <v>0.95</v>
      </c>
      <c r="C2670" s="24">
        <f>$H$258*(1-$D$14)</f>
        <v>0.95</v>
      </c>
      <c r="D2670" s="24">
        <f>$H$259*(1-$D$14)</f>
        <v>0</v>
      </c>
      <c r="E2670" s="24">
        <f>$H$260*(1-$D$14)</f>
        <v>0</v>
      </c>
      <c r="F2670" s="10"/>
    </row>
    <row r="2671" spans="1:6">
      <c r="A2671" s="11" t="s">
        <v>359</v>
      </c>
      <c r="B2671" s="24">
        <f>$I$257*(1-$D$14)</f>
        <v>0.95</v>
      </c>
      <c r="C2671" s="24">
        <f>$I$258*(1-$D$14)</f>
        <v>0</v>
      </c>
      <c r="D2671" s="24">
        <f>$I$259*(1-$D$14)</f>
        <v>0</v>
      </c>
      <c r="E2671" s="24">
        <f>$I$260*(1-$D$14)</f>
        <v>0</v>
      </c>
      <c r="F2671" s="10"/>
    </row>
    <row r="2673" spans="1:10" ht="21" customHeight="1">
      <c r="A2673" s="1" t="s">
        <v>707</v>
      </c>
    </row>
    <row r="2674" spans="1:10">
      <c r="A2674" s="2" t="s">
        <v>255</v>
      </c>
    </row>
    <row r="2675" spans="1:10">
      <c r="A2675" s="12" t="s">
        <v>708</v>
      </c>
    </row>
    <row r="2676" spans="1:10">
      <c r="A2676" s="12" t="s">
        <v>709</v>
      </c>
    </row>
    <row r="2677" spans="1:10">
      <c r="A2677" s="2" t="s">
        <v>268</v>
      </c>
    </row>
    <row r="2679" spans="1:10" ht="30">
      <c r="B2679" s="3" t="s">
        <v>220</v>
      </c>
      <c r="C2679" s="3" t="s">
        <v>221</v>
      </c>
      <c r="D2679" s="3" t="s">
        <v>222</v>
      </c>
      <c r="E2679" s="3" t="s">
        <v>223</v>
      </c>
      <c r="F2679" s="3" t="s">
        <v>224</v>
      </c>
      <c r="G2679" s="3" t="s">
        <v>225</v>
      </c>
      <c r="H2679" s="3" t="s">
        <v>226</v>
      </c>
      <c r="I2679" s="3" t="s">
        <v>227</v>
      </c>
    </row>
    <row r="2680" spans="1:10">
      <c r="A2680" s="11" t="s">
        <v>92</v>
      </c>
      <c r="B2680" s="24">
        <f t="shared" ref="B2680:B2706" si="364">SUMPRODUCT($B2629:$E2629,$B$2664:$E$2664)</f>
        <v>0</v>
      </c>
      <c r="C2680" s="24">
        <f t="shared" ref="C2680:C2706" si="365">SUMPRODUCT($B2629:$E2629,$B$2665:$E$2665)</f>
        <v>0</v>
      </c>
      <c r="D2680" s="24">
        <f t="shared" ref="D2680:D2706" si="366">SUMPRODUCT($B2629:$E2629,$B$2666:$E$2666)</f>
        <v>0</v>
      </c>
      <c r="E2680" s="24">
        <f t="shared" ref="E2680:E2706" si="367">SUMPRODUCT($B2629:$E2629,$B$2667:$E$2667)</f>
        <v>0.75</v>
      </c>
      <c r="F2680" s="24">
        <f t="shared" ref="F2680:F2706" si="368">SUMPRODUCT($B2629:$E2629,$B$2668:$E$2668)</f>
        <v>0.75</v>
      </c>
      <c r="G2680" s="24">
        <f t="shared" ref="G2680:G2706" si="369">SUMPRODUCT($B2629:$E2629,$B$2669:$E$2669)</f>
        <v>0.75</v>
      </c>
      <c r="H2680" s="24">
        <f t="shared" ref="H2680:H2706" si="370">SUMPRODUCT($B2629:$E2629,$B$2670:$E$2670)</f>
        <v>0.95</v>
      </c>
      <c r="I2680" s="24">
        <f t="shared" ref="I2680:I2706" si="371">SUMPRODUCT($B2629:$E2629,$B$2671:$E$2671)</f>
        <v>0.95</v>
      </c>
      <c r="J2680" s="10"/>
    </row>
    <row r="2681" spans="1:10">
      <c r="A2681" s="11" t="s">
        <v>93</v>
      </c>
      <c r="B2681" s="24">
        <f t="shared" si="364"/>
        <v>0</v>
      </c>
      <c r="C2681" s="24">
        <f t="shared" si="365"/>
        <v>0</v>
      </c>
      <c r="D2681" s="24">
        <f t="shared" si="366"/>
        <v>0</v>
      </c>
      <c r="E2681" s="24">
        <f t="shared" si="367"/>
        <v>0.75</v>
      </c>
      <c r="F2681" s="24">
        <f t="shared" si="368"/>
        <v>0.75</v>
      </c>
      <c r="G2681" s="24">
        <f t="shared" si="369"/>
        <v>0.75</v>
      </c>
      <c r="H2681" s="24">
        <f t="shared" si="370"/>
        <v>0.95</v>
      </c>
      <c r="I2681" s="24">
        <f t="shared" si="371"/>
        <v>0.95</v>
      </c>
      <c r="J2681" s="10"/>
    </row>
    <row r="2682" spans="1:10">
      <c r="A2682" s="11" t="s">
        <v>129</v>
      </c>
      <c r="B2682" s="24">
        <f t="shared" si="364"/>
        <v>0</v>
      </c>
      <c r="C2682" s="24">
        <f t="shared" si="365"/>
        <v>0</v>
      </c>
      <c r="D2682" s="24">
        <f t="shared" si="366"/>
        <v>0</v>
      </c>
      <c r="E2682" s="24">
        <f t="shared" si="367"/>
        <v>0.75</v>
      </c>
      <c r="F2682" s="24">
        <f t="shared" si="368"/>
        <v>0.75</v>
      </c>
      <c r="G2682" s="24">
        <f t="shared" si="369"/>
        <v>0.75</v>
      </c>
      <c r="H2682" s="24">
        <f t="shared" si="370"/>
        <v>0.95</v>
      </c>
      <c r="I2682" s="24">
        <f t="shared" si="371"/>
        <v>0.95</v>
      </c>
      <c r="J2682" s="10"/>
    </row>
    <row r="2683" spans="1:10">
      <c r="A2683" s="11" t="s">
        <v>94</v>
      </c>
      <c r="B2683" s="24">
        <f t="shared" si="364"/>
        <v>0</v>
      </c>
      <c r="C2683" s="24">
        <f t="shared" si="365"/>
        <v>0</v>
      </c>
      <c r="D2683" s="24">
        <f t="shared" si="366"/>
        <v>0</v>
      </c>
      <c r="E2683" s="24">
        <f t="shared" si="367"/>
        <v>0.75</v>
      </c>
      <c r="F2683" s="24">
        <f t="shared" si="368"/>
        <v>0.75</v>
      </c>
      <c r="G2683" s="24">
        <f t="shared" si="369"/>
        <v>0.75</v>
      </c>
      <c r="H2683" s="24">
        <f t="shared" si="370"/>
        <v>0.95</v>
      </c>
      <c r="I2683" s="24">
        <f t="shared" si="371"/>
        <v>0.95</v>
      </c>
      <c r="J2683" s="10"/>
    </row>
    <row r="2684" spans="1:10">
      <c r="A2684" s="11" t="s">
        <v>95</v>
      </c>
      <c r="B2684" s="24">
        <f t="shared" si="364"/>
        <v>0</v>
      </c>
      <c r="C2684" s="24">
        <f t="shared" si="365"/>
        <v>0</v>
      </c>
      <c r="D2684" s="24">
        <f t="shared" si="366"/>
        <v>0</v>
      </c>
      <c r="E2684" s="24">
        <f t="shared" si="367"/>
        <v>0.75</v>
      </c>
      <c r="F2684" s="24">
        <f t="shared" si="368"/>
        <v>0.75</v>
      </c>
      <c r="G2684" s="24">
        <f t="shared" si="369"/>
        <v>0.75</v>
      </c>
      <c r="H2684" s="24">
        <f t="shared" si="370"/>
        <v>0.95</v>
      </c>
      <c r="I2684" s="24">
        <f t="shared" si="371"/>
        <v>0.95</v>
      </c>
      <c r="J2684" s="10"/>
    </row>
    <row r="2685" spans="1:10">
      <c r="A2685" s="11" t="s">
        <v>130</v>
      </c>
      <c r="B2685" s="24">
        <f t="shared" si="364"/>
        <v>0</v>
      </c>
      <c r="C2685" s="24">
        <f t="shared" si="365"/>
        <v>0</v>
      </c>
      <c r="D2685" s="24">
        <f t="shared" si="366"/>
        <v>0</v>
      </c>
      <c r="E2685" s="24">
        <f t="shared" si="367"/>
        <v>0.75</v>
      </c>
      <c r="F2685" s="24">
        <f t="shared" si="368"/>
        <v>0.75</v>
      </c>
      <c r="G2685" s="24">
        <f t="shared" si="369"/>
        <v>0.75</v>
      </c>
      <c r="H2685" s="24">
        <f t="shared" si="370"/>
        <v>0.95</v>
      </c>
      <c r="I2685" s="24">
        <f t="shared" si="371"/>
        <v>0.95</v>
      </c>
      <c r="J2685" s="10"/>
    </row>
    <row r="2686" spans="1:10">
      <c r="A2686" s="11" t="s">
        <v>96</v>
      </c>
      <c r="B2686" s="24">
        <f t="shared" si="364"/>
        <v>0</v>
      </c>
      <c r="C2686" s="24">
        <f t="shared" si="365"/>
        <v>0</v>
      </c>
      <c r="D2686" s="24">
        <f t="shared" si="366"/>
        <v>0</v>
      </c>
      <c r="E2686" s="24">
        <f t="shared" si="367"/>
        <v>0.75</v>
      </c>
      <c r="F2686" s="24">
        <f t="shared" si="368"/>
        <v>0.75</v>
      </c>
      <c r="G2686" s="24">
        <f t="shared" si="369"/>
        <v>0.75</v>
      </c>
      <c r="H2686" s="24">
        <f t="shared" si="370"/>
        <v>0.95</v>
      </c>
      <c r="I2686" s="24">
        <f t="shared" si="371"/>
        <v>0.95</v>
      </c>
      <c r="J2686" s="10"/>
    </row>
    <row r="2687" spans="1:10">
      <c r="A2687" s="11" t="s">
        <v>97</v>
      </c>
      <c r="B2687" s="24">
        <f t="shared" si="364"/>
        <v>0</v>
      </c>
      <c r="C2687" s="24">
        <f t="shared" si="365"/>
        <v>0</v>
      </c>
      <c r="D2687" s="24">
        <f t="shared" si="366"/>
        <v>0</v>
      </c>
      <c r="E2687" s="24">
        <f t="shared" si="367"/>
        <v>0.75</v>
      </c>
      <c r="F2687" s="24">
        <f t="shared" si="368"/>
        <v>0.75</v>
      </c>
      <c r="G2687" s="24">
        <f t="shared" si="369"/>
        <v>0.75</v>
      </c>
      <c r="H2687" s="24">
        <f t="shared" si="370"/>
        <v>0.95</v>
      </c>
      <c r="I2687" s="24">
        <f t="shared" si="371"/>
        <v>0</v>
      </c>
      <c r="J2687" s="10"/>
    </row>
    <row r="2688" spans="1:10">
      <c r="A2688" s="11" t="s">
        <v>110</v>
      </c>
      <c r="B2688" s="24">
        <f t="shared" si="364"/>
        <v>0</v>
      </c>
      <c r="C2688" s="24">
        <f t="shared" si="365"/>
        <v>0.36</v>
      </c>
      <c r="D2688" s="24">
        <f t="shared" si="366"/>
        <v>0.36</v>
      </c>
      <c r="E2688" s="24">
        <f t="shared" si="367"/>
        <v>0.91</v>
      </c>
      <c r="F2688" s="24">
        <f t="shared" si="368"/>
        <v>0.91</v>
      </c>
      <c r="G2688" s="24">
        <f t="shared" si="369"/>
        <v>0.91</v>
      </c>
      <c r="H2688" s="24">
        <f t="shared" si="370"/>
        <v>0</v>
      </c>
      <c r="I2688" s="24">
        <f t="shared" si="371"/>
        <v>0</v>
      </c>
      <c r="J2688" s="10"/>
    </row>
    <row r="2689" spans="1:10">
      <c r="A2689" s="11" t="s">
        <v>1647</v>
      </c>
      <c r="B2689" s="24">
        <f t="shared" si="364"/>
        <v>0</v>
      </c>
      <c r="C2689" s="24">
        <f t="shared" si="365"/>
        <v>0</v>
      </c>
      <c r="D2689" s="24">
        <f t="shared" si="366"/>
        <v>0</v>
      </c>
      <c r="E2689" s="24">
        <f t="shared" si="367"/>
        <v>0.75</v>
      </c>
      <c r="F2689" s="24">
        <f t="shared" si="368"/>
        <v>0.75</v>
      </c>
      <c r="G2689" s="24">
        <f t="shared" si="369"/>
        <v>0.75</v>
      </c>
      <c r="H2689" s="24">
        <f t="shared" si="370"/>
        <v>0.95</v>
      </c>
      <c r="I2689" s="24">
        <f t="shared" si="371"/>
        <v>0.95</v>
      </c>
      <c r="J2689" s="10"/>
    </row>
    <row r="2690" spans="1:10">
      <c r="A2690" s="11" t="s">
        <v>1646</v>
      </c>
      <c r="B2690" s="24">
        <f t="shared" si="364"/>
        <v>0</v>
      </c>
      <c r="C2690" s="24">
        <f t="shared" si="365"/>
        <v>0</v>
      </c>
      <c r="D2690" s="24">
        <f t="shared" si="366"/>
        <v>0</v>
      </c>
      <c r="E2690" s="24">
        <f t="shared" si="367"/>
        <v>0.75</v>
      </c>
      <c r="F2690" s="24">
        <f t="shared" si="368"/>
        <v>0.75</v>
      </c>
      <c r="G2690" s="24">
        <f t="shared" si="369"/>
        <v>0.75</v>
      </c>
      <c r="H2690" s="24">
        <f t="shared" si="370"/>
        <v>0.95</v>
      </c>
      <c r="I2690" s="24">
        <f t="shared" si="371"/>
        <v>0.95</v>
      </c>
      <c r="J2690" s="10"/>
    </row>
    <row r="2691" spans="1:10">
      <c r="A2691" s="11" t="s">
        <v>98</v>
      </c>
      <c r="B2691" s="24">
        <f t="shared" si="364"/>
        <v>0</v>
      </c>
      <c r="C2691" s="24">
        <f t="shared" si="365"/>
        <v>0</v>
      </c>
      <c r="D2691" s="24">
        <f t="shared" si="366"/>
        <v>0</v>
      </c>
      <c r="E2691" s="24">
        <f t="shared" si="367"/>
        <v>0.75</v>
      </c>
      <c r="F2691" s="24">
        <f t="shared" si="368"/>
        <v>0.75</v>
      </c>
      <c r="G2691" s="24">
        <f t="shared" si="369"/>
        <v>0.75</v>
      </c>
      <c r="H2691" s="24">
        <f t="shared" si="370"/>
        <v>0.95</v>
      </c>
      <c r="I2691" s="24">
        <f t="shared" si="371"/>
        <v>0.95</v>
      </c>
      <c r="J2691" s="10"/>
    </row>
    <row r="2692" spans="1:10">
      <c r="A2692" s="11" t="s">
        <v>99</v>
      </c>
      <c r="B2692" s="24">
        <f t="shared" si="364"/>
        <v>0</v>
      </c>
      <c r="C2692" s="24">
        <f t="shared" si="365"/>
        <v>0</v>
      </c>
      <c r="D2692" s="24">
        <f t="shared" si="366"/>
        <v>0</v>
      </c>
      <c r="E2692" s="24">
        <f t="shared" si="367"/>
        <v>0.75</v>
      </c>
      <c r="F2692" s="24">
        <f t="shared" si="368"/>
        <v>0.75</v>
      </c>
      <c r="G2692" s="24">
        <f t="shared" si="369"/>
        <v>0.75</v>
      </c>
      <c r="H2692" s="24">
        <f t="shared" si="370"/>
        <v>0.95</v>
      </c>
      <c r="I2692" s="24">
        <f t="shared" si="371"/>
        <v>0</v>
      </c>
      <c r="J2692" s="10"/>
    </row>
    <row r="2693" spans="1:10">
      <c r="A2693" s="11" t="s">
        <v>111</v>
      </c>
      <c r="B2693" s="24">
        <f t="shared" si="364"/>
        <v>0</v>
      </c>
      <c r="C2693" s="24">
        <f t="shared" si="365"/>
        <v>0.36</v>
      </c>
      <c r="D2693" s="24">
        <f t="shared" si="366"/>
        <v>0.36</v>
      </c>
      <c r="E2693" s="24">
        <f t="shared" si="367"/>
        <v>0.91</v>
      </c>
      <c r="F2693" s="24">
        <f t="shared" si="368"/>
        <v>0.91</v>
      </c>
      <c r="G2693" s="24">
        <f t="shared" si="369"/>
        <v>0.91</v>
      </c>
      <c r="H2693" s="24">
        <f t="shared" si="370"/>
        <v>0</v>
      </c>
      <c r="I2693" s="24">
        <f t="shared" si="371"/>
        <v>0</v>
      </c>
      <c r="J2693" s="10"/>
    </row>
    <row r="2694" spans="1:10">
      <c r="A2694" s="11" t="s">
        <v>131</v>
      </c>
      <c r="B2694" s="24">
        <f t="shared" si="364"/>
        <v>0</v>
      </c>
      <c r="C2694" s="24">
        <f t="shared" si="365"/>
        <v>0</v>
      </c>
      <c r="D2694" s="24">
        <f t="shared" si="366"/>
        <v>0</v>
      </c>
      <c r="E2694" s="24">
        <f t="shared" si="367"/>
        <v>0.75</v>
      </c>
      <c r="F2694" s="24">
        <f t="shared" si="368"/>
        <v>0.75</v>
      </c>
      <c r="G2694" s="24">
        <f t="shared" si="369"/>
        <v>0.75</v>
      </c>
      <c r="H2694" s="24">
        <f t="shared" si="370"/>
        <v>0.95</v>
      </c>
      <c r="I2694" s="24">
        <f t="shared" si="371"/>
        <v>0.95</v>
      </c>
      <c r="J2694" s="10"/>
    </row>
    <row r="2695" spans="1:10">
      <c r="A2695" s="11" t="s">
        <v>132</v>
      </c>
      <c r="B2695" s="24">
        <f t="shared" si="364"/>
        <v>0</v>
      </c>
      <c r="C2695" s="24">
        <f t="shared" si="365"/>
        <v>0</v>
      </c>
      <c r="D2695" s="24">
        <f t="shared" si="366"/>
        <v>0</v>
      </c>
      <c r="E2695" s="24">
        <f t="shared" si="367"/>
        <v>0.75</v>
      </c>
      <c r="F2695" s="24">
        <f t="shared" si="368"/>
        <v>0.75</v>
      </c>
      <c r="G2695" s="24">
        <f t="shared" si="369"/>
        <v>0.75</v>
      </c>
      <c r="H2695" s="24">
        <f t="shared" si="370"/>
        <v>0.95</v>
      </c>
      <c r="I2695" s="24">
        <f t="shared" si="371"/>
        <v>0.95</v>
      </c>
      <c r="J2695" s="10"/>
    </row>
    <row r="2696" spans="1:10">
      <c r="A2696" s="11" t="s">
        <v>133</v>
      </c>
      <c r="B2696" s="24">
        <f t="shared" si="364"/>
        <v>0</v>
      </c>
      <c r="C2696" s="24">
        <f t="shared" si="365"/>
        <v>0</v>
      </c>
      <c r="D2696" s="24">
        <f t="shared" si="366"/>
        <v>0</v>
      </c>
      <c r="E2696" s="24">
        <f t="shared" si="367"/>
        <v>0.75</v>
      </c>
      <c r="F2696" s="24">
        <f t="shared" si="368"/>
        <v>0.75</v>
      </c>
      <c r="G2696" s="24">
        <f t="shared" si="369"/>
        <v>0.75</v>
      </c>
      <c r="H2696" s="24">
        <f t="shared" si="370"/>
        <v>0.95</v>
      </c>
      <c r="I2696" s="24">
        <f t="shared" si="371"/>
        <v>0.95</v>
      </c>
      <c r="J2696" s="10"/>
    </row>
    <row r="2697" spans="1:10">
      <c r="A2697" s="11" t="s">
        <v>134</v>
      </c>
      <c r="B2697" s="24">
        <f t="shared" si="364"/>
        <v>0</v>
      </c>
      <c r="C2697" s="24">
        <f t="shared" si="365"/>
        <v>0</v>
      </c>
      <c r="D2697" s="24">
        <f t="shared" si="366"/>
        <v>0</v>
      </c>
      <c r="E2697" s="24">
        <f t="shared" si="367"/>
        <v>0.75</v>
      </c>
      <c r="F2697" s="24">
        <f t="shared" si="368"/>
        <v>0.75</v>
      </c>
      <c r="G2697" s="24">
        <f t="shared" si="369"/>
        <v>0.75</v>
      </c>
      <c r="H2697" s="24">
        <f t="shared" si="370"/>
        <v>0.95</v>
      </c>
      <c r="I2697" s="24">
        <f t="shared" si="371"/>
        <v>0.95</v>
      </c>
      <c r="J2697" s="10"/>
    </row>
    <row r="2698" spans="1:10">
      <c r="A2698" s="11" t="s">
        <v>135</v>
      </c>
      <c r="B2698" s="24">
        <f t="shared" si="364"/>
        <v>0</v>
      </c>
      <c r="C2698" s="24">
        <f t="shared" si="365"/>
        <v>0</v>
      </c>
      <c r="D2698" s="24">
        <f t="shared" si="366"/>
        <v>0</v>
      </c>
      <c r="E2698" s="24">
        <f t="shared" si="367"/>
        <v>0.75</v>
      </c>
      <c r="F2698" s="24">
        <f t="shared" si="368"/>
        <v>0.75</v>
      </c>
      <c r="G2698" s="24">
        <f t="shared" si="369"/>
        <v>0.75</v>
      </c>
      <c r="H2698" s="24">
        <f t="shared" si="370"/>
        <v>0.95</v>
      </c>
      <c r="I2698" s="24">
        <f t="shared" si="371"/>
        <v>0.95</v>
      </c>
      <c r="J2698" s="10"/>
    </row>
    <row r="2699" spans="1:10">
      <c r="A2699" s="11" t="s">
        <v>1645</v>
      </c>
      <c r="B2699" s="24">
        <f t="shared" si="364"/>
        <v>0</v>
      </c>
      <c r="C2699" s="24">
        <f t="shared" si="365"/>
        <v>0</v>
      </c>
      <c r="D2699" s="24">
        <f t="shared" si="366"/>
        <v>0</v>
      </c>
      <c r="E2699" s="24">
        <f t="shared" si="367"/>
        <v>0.75</v>
      </c>
      <c r="F2699" s="24">
        <f t="shared" si="368"/>
        <v>0.75</v>
      </c>
      <c r="G2699" s="24">
        <f t="shared" si="369"/>
        <v>0.75</v>
      </c>
      <c r="H2699" s="24">
        <f t="shared" si="370"/>
        <v>0.95</v>
      </c>
      <c r="I2699" s="24">
        <f t="shared" si="371"/>
        <v>0.95</v>
      </c>
      <c r="J2699" s="10"/>
    </row>
    <row r="2700" spans="1:10">
      <c r="A2700" s="11" t="s">
        <v>100</v>
      </c>
      <c r="B2700" s="24">
        <f t="shared" si="364"/>
        <v>0</v>
      </c>
      <c r="C2700" s="24">
        <f t="shared" si="365"/>
        <v>0</v>
      </c>
      <c r="D2700" s="24">
        <f t="shared" si="366"/>
        <v>0</v>
      </c>
      <c r="E2700" s="24">
        <f t="shared" si="367"/>
        <v>0.75</v>
      </c>
      <c r="F2700" s="24">
        <f t="shared" si="368"/>
        <v>0.75</v>
      </c>
      <c r="G2700" s="24">
        <f t="shared" si="369"/>
        <v>0.75</v>
      </c>
      <c r="H2700" s="24">
        <f t="shared" si="370"/>
        <v>0.95</v>
      </c>
      <c r="I2700" s="24">
        <f t="shared" si="371"/>
        <v>0</v>
      </c>
      <c r="J2700" s="10"/>
    </row>
    <row r="2701" spans="1:10">
      <c r="A2701" s="11" t="s">
        <v>101</v>
      </c>
      <c r="B2701" s="24">
        <f t="shared" si="364"/>
        <v>0</v>
      </c>
      <c r="C2701" s="24">
        <f t="shared" si="365"/>
        <v>0</v>
      </c>
      <c r="D2701" s="24">
        <f t="shared" si="366"/>
        <v>0</v>
      </c>
      <c r="E2701" s="24">
        <f t="shared" si="367"/>
        <v>0.75</v>
      </c>
      <c r="F2701" s="24">
        <f t="shared" si="368"/>
        <v>0.75</v>
      </c>
      <c r="G2701" s="24">
        <f t="shared" si="369"/>
        <v>0.75</v>
      </c>
      <c r="H2701" s="24">
        <f t="shared" si="370"/>
        <v>0.95</v>
      </c>
      <c r="I2701" s="24">
        <f t="shared" si="371"/>
        <v>0.95</v>
      </c>
      <c r="J2701" s="10"/>
    </row>
    <row r="2702" spans="1:10">
      <c r="A2702" s="11" t="s">
        <v>102</v>
      </c>
      <c r="B2702" s="24">
        <f t="shared" si="364"/>
        <v>0</v>
      </c>
      <c r="C2702" s="24">
        <f t="shared" si="365"/>
        <v>0</v>
      </c>
      <c r="D2702" s="24">
        <f t="shared" si="366"/>
        <v>0</v>
      </c>
      <c r="E2702" s="24">
        <f t="shared" si="367"/>
        <v>0.75</v>
      </c>
      <c r="F2702" s="24">
        <f t="shared" si="368"/>
        <v>0.75</v>
      </c>
      <c r="G2702" s="24">
        <f t="shared" si="369"/>
        <v>0.75</v>
      </c>
      <c r="H2702" s="24">
        <f t="shared" si="370"/>
        <v>0.95</v>
      </c>
      <c r="I2702" s="24">
        <f t="shared" si="371"/>
        <v>0.95</v>
      </c>
      <c r="J2702" s="10"/>
    </row>
    <row r="2703" spans="1:10">
      <c r="A2703" s="11" t="s">
        <v>103</v>
      </c>
      <c r="B2703" s="24">
        <f t="shared" si="364"/>
        <v>0</v>
      </c>
      <c r="C2703" s="24">
        <f t="shared" si="365"/>
        <v>0</v>
      </c>
      <c r="D2703" s="24">
        <f t="shared" si="366"/>
        <v>0</v>
      </c>
      <c r="E2703" s="24">
        <f t="shared" si="367"/>
        <v>0.75</v>
      </c>
      <c r="F2703" s="24">
        <f t="shared" si="368"/>
        <v>0.75</v>
      </c>
      <c r="G2703" s="24">
        <f t="shared" si="369"/>
        <v>0.75</v>
      </c>
      <c r="H2703" s="24">
        <f t="shared" si="370"/>
        <v>0.95</v>
      </c>
      <c r="I2703" s="24">
        <f t="shared" si="371"/>
        <v>0</v>
      </c>
      <c r="J2703" s="10"/>
    </row>
    <row r="2704" spans="1:10">
      <c r="A2704" s="11" t="s">
        <v>104</v>
      </c>
      <c r="B2704" s="24">
        <f t="shared" si="364"/>
        <v>0</v>
      </c>
      <c r="C2704" s="24">
        <f t="shared" si="365"/>
        <v>0</v>
      </c>
      <c r="D2704" s="24">
        <f t="shared" si="366"/>
        <v>0</v>
      </c>
      <c r="E2704" s="24">
        <f t="shared" si="367"/>
        <v>0.75</v>
      </c>
      <c r="F2704" s="24">
        <f t="shared" si="368"/>
        <v>0.75</v>
      </c>
      <c r="G2704" s="24">
        <f t="shared" si="369"/>
        <v>0.75</v>
      </c>
      <c r="H2704" s="24">
        <f t="shared" si="370"/>
        <v>0.95</v>
      </c>
      <c r="I2704" s="24">
        <f t="shared" si="371"/>
        <v>0</v>
      </c>
      <c r="J2704" s="10"/>
    </row>
    <row r="2705" spans="1:20">
      <c r="A2705" s="11" t="s">
        <v>112</v>
      </c>
      <c r="B2705" s="24">
        <f t="shared" si="364"/>
        <v>0</v>
      </c>
      <c r="C2705" s="24">
        <f t="shared" si="365"/>
        <v>0.36</v>
      </c>
      <c r="D2705" s="24">
        <f t="shared" si="366"/>
        <v>0.36</v>
      </c>
      <c r="E2705" s="24">
        <f t="shared" si="367"/>
        <v>0.91</v>
      </c>
      <c r="F2705" s="24">
        <f t="shared" si="368"/>
        <v>0.91</v>
      </c>
      <c r="G2705" s="24">
        <f t="shared" si="369"/>
        <v>0.91</v>
      </c>
      <c r="H2705" s="24">
        <f t="shared" si="370"/>
        <v>0</v>
      </c>
      <c r="I2705" s="24">
        <f t="shared" si="371"/>
        <v>0</v>
      </c>
      <c r="J2705" s="10"/>
    </row>
    <row r="2706" spans="1:20">
      <c r="A2706" s="11" t="s">
        <v>113</v>
      </c>
      <c r="B2706" s="24">
        <f t="shared" si="364"/>
        <v>0</v>
      </c>
      <c r="C2706" s="24">
        <f t="shared" si="365"/>
        <v>0.36</v>
      </c>
      <c r="D2706" s="24">
        <f t="shared" si="366"/>
        <v>0.36</v>
      </c>
      <c r="E2706" s="24">
        <f t="shared" si="367"/>
        <v>0.91</v>
      </c>
      <c r="F2706" s="24">
        <f t="shared" si="368"/>
        <v>0.91</v>
      </c>
      <c r="G2706" s="24">
        <f t="shared" si="369"/>
        <v>0.91</v>
      </c>
      <c r="H2706" s="24">
        <f t="shared" si="370"/>
        <v>0</v>
      </c>
      <c r="I2706" s="24">
        <f t="shared" si="371"/>
        <v>0</v>
      </c>
      <c r="J2706" s="10"/>
    </row>
    <row r="2708" spans="1:20" ht="21" customHeight="1">
      <c r="A2708" s="1" t="s">
        <v>710</v>
      </c>
    </row>
    <row r="2709" spans="1:20">
      <c r="A2709" s="2" t="s">
        <v>255</v>
      </c>
    </row>
    <row r="2710" spans="1:20">
      <c r="A2710" s="2" t="s">
        <v>711</v>
      </c>
    </row>
    <row r="2711" spans="1:20">
      <c r="A2711" s="2" t="s">
        <v>712</v>
      </c>
    </row>
    <row r="2712" spans="1:20">
      <c r="A2712" s="12" t="s">
        <v>713</v>
      </c>
    </row>
    <row r="2713" spans="1:20">
      <c r="A2713" s="2" t="s">
        <v>295</v>
      </c>
    </row>
    <row r="2715" spans="1:20" ht="30">
      <c r="B2715" s="3" t="s">
        <v>60</v>
      </c>
      <c r="C2715" s="3" t="s">
        <v>220</v>
      </c>
      <c r="D2715" s="3" t="s">
        <v>221</v>
      </c>
      <c r="E2715" s="3" t="s">
        <v>222</v>
      </c>
      <c r="F2715" s="3" t="s">
        <v>223</v>
      </c>
      <c r="G2715" s="3" t="s">
        <v>224</v>
      </c>
      <c r="H2715" s="3" t="s">
        <v>225</v>
      </c>
      <c r="I2715" s="3" t="s">
        <v>226</v>
      </c>
      <c r="J2715" s="3" t="s">
        <v>227</v>
      </c>
      <c r="K2715" s="3" t="s">
        <v>208</v>
      </c>
      <c r="L2715" s="3" t="s">
        <v>624</v>
      </c>
      <c r="M2715" s="3" t="s">
        <v>625</v>
      </c>
      <c r="N2715" s="3" t="s">
        <v>626</v>
      </c>
      <c r="O2715" s="3" t="s">
        <v>627</v>
      </c>
      <c r="P2715" s="3" t="s">
        <v>628</v>
      </c>
      <c r="Q2715" s="3" t="s">
        <v>629</v>
      </c>
      <c r="R2715" s="3" t="s">
        <v>630</v>
      </c>
      <c r="S2715" s="3" t="s">
        <v>631</v>
      </c>
    </row>
    <row r="2716" spans="1:20">
      <c r="A2716" s="11" t="s">
        <v>92</v>
      </c>
      <c r="B2716" s="25">
        <v>0</v>
      </c>
      <c r="C2716" s="26">
        <f t="shared" ref="C2716:C2742" si="372">$B2680</f>
        <v>0</v>
      </c>
      <c r="D2716" s="26">
        <f t="shared" ref="D2716:D2742" si="373">$C2680</f>
        <v>0</v>
      </c>
      <c r="E2716" s="26">
        <f t="shared" ref="E2716:E2742" si="374">$D2680</f>
        <v>0</v>
      </c>
      <c r="F2716" s="26">
        <f t="shared" ref="F2716:F2742" si="375">$E2680</f>
        <v>0.75</v>
      </c>
      <c r="G2716" s="26">
        <f t="shared" ref="G2716:G2742" si="376">$F2680</f>
        <v>0.75</v>
      </c>
      <c r="H2716" s="26">
        <f t="shared" ref="H2716:H2742" si="377">$G2680</f>
        <v>0.75</v>
      </c>
      <c r="I2716" s="26">
        <f t="shared" ref="I2716:I2742" si="378">$H2680</f>
        <v>0.95</v>
      </c>
      <c r="J2716" s="26">
        <f t="shared" ref="J2716:J2742" si="379">$I2680</f>
        <v>0.95</v>
      </c>
      <c r="K2716" s="25">
        <v>0</v>
      </c>
      <c r="L2716" s="25">
        <v>0</v>
      </c>
      <c r="M2716" s="25">
        <v>0</v>
      </c>
      <c r="N2716" s="25">
        <v>0</v>
      </c>
      <c r="O2716" s="25">
        <v>0</v>
      </c>
      <c r="P2716" s="25">
        <v>0</v>
      </c>
      <c r="Q2716" s="25">
        <v>0</v>
      </c>
      <c r="R2716" s="25">
        <v>0</v>
      </c>
      <c r="S2716" s="25">
        <v>0</v>
      </c>
      <c r="T2716" s="10"/>
    </row>
    <row r="2717" spans="1:20">
      <c r="A2717" s="11" t="s">
        <v>93</v>
      </c>
      <c r="B2717" s="25">
        <v>0</v>
      </c>
      <c r="C2717" s="26">
        <f t="shared" si="372"/>
        <v>0</v>
      </c>
      <c r="D2717" s="26">
        <f t="shared" si="373"/>
        <v>0</v>
      </c>
      <c r="E2717" s="26">
        <f t="shared" si="374"/>
        <v>0</v>
      </c>
      <c r="F2717" s="26">
        <f t="shared" si="375"/>
        <v>0.75</v>
      </c>
      <c r="G2717" s="26">
        <f t="shared" si="376"/>
        <v>0.75</v>
      </c>
      <c r="H2717" s="26">
        <f t="shared" si="377"/>
        <v>0.75</v>
      </c>
      <c r="I2717" s="26">
        <f t="shared" si="378"/>
        <v>0.95</v>
      </c>
      <c r="J2717" s="26">
        <f t="shared" si="379"/>
        <v>0.95</v>
      </c>
      <c r="K2717" s="25">
        <v>0</v>
      </c>
      <c r="L2717" s="25">
        <v>0</v>
      </c>
      <c r="M2717" s="25">
        <v>0</v>
      </c>
      <c r="N2717" s="25">
        <v>0</v>
      </c>
      <c r="O2717" s="25">
        <v>0</v>
      </c>
      <c r="P2717" s="25">
        <v>0</v>
      </c>
      <c r="Q2717" s="25">
        <v>0</v>
      </c>
      <c r="R2717" s="25">
        <v>0</v>
      </c>
      <c r="S2717" s="25">
        <v>0</v>
      </c>
      <c r="T2717" s="10"/>
    </row>
    <row r="2718" spans="1:20">
      <c r="A2718" s="11" t="s">
        <v>129</v>
      </c>
      <c r="B2718" s="25">
        <v>0</v>
      </c>
      <c r="C2718" s="26">
        <f t="shared" si="372"/>
        <v>0</v>
      </c>
      <c r="D2718" s="26">
        <f t="shared" si="373"/>
        <v>0</v>
      </c>
      <c r="E2718" s="26">
        <f t="shared" si="374"/>
        <v>0</v>
      </c>
      <c r="F2718" s="26">
        <f t="shared" si="375"/>
        <v>0.75</v>
      </c>
      <c r="G2718" s="26">
        <f t="shared" si="376"/>
        <v>0.75</v>
      </c>
      <c r="H2718" s="26">
        <f t="shared" si="377"/>
        <v>0.75</v>
      </c>
      <c r="I2718" s="26">
        <f t="shared" si="378"/>
        <v>0.95</v>
      </c>
      <c r="J2718" s="26">
        <f t="shared" si="379"/>
        <v>0.95</v>
      </c>
      <c r="K2718" s="25">
        <v>0</v>
      </c>
      <c r="L2718" s="25">
        <v>0</v>
      </c>
      <c r="M2718" s="25">
        <v>0</v>
      </c>
      <c r="N2718" s="25">
        <v>0</v>
      </c>
      <c r="O2718" s="25">
        <v>0</v>
      </c>
      <c r="P2718" s="25">
        <v>0</v>
      </c>
      <c r="Q2718" s="25">
        <v>0</v>
      </c>
      <c r="R2718" s="25">
        <v>0</v>
      </c>
      <c r="S2718" s="25">
        <v>0</v>
      </c>
      <c r="T2718" s="10"/>
    </row>
    <row r="2719" spans="1:20">
      <c r="A2719" s="11" t="s">
        <v>94</v>
      </c>
      <c r="B2719" s="25">
        <v>0</v>
      </c>
      <c r="C2719" s="26">
        <f t="shared" si="372"/>
        <v>0</v>
      </c>
      <c r="D2719" s="26">
        <f t="shared" si="373"/>
        <v>0</v>
      </c>
      <c r="E2719" s="26">
        <f t="shared" si="374"/>
        <v>0</v>
      </c>
      <c r="F2719" s="26">
        <f t="shared" si="375"/>
        <v>0.75</v>
      </c>
      <c r="G2719" s="26">
        <f t="shared" si="376"/>
        <v>0.75</v>
      </c>
      <c r="H2719" s="26">
        <f t="shared" si="377"/>
        <v>0.75</v>
      </c>
      <c r="I2719" s="26">
        <f t="shared" si="378"/>
        <v>0.95</v>
      </c>
      <c r="J2719" s="26">
        <f t="shared" si="379"/>
        <v>0.95</v>
      </c>
      <c r="K2719" s="25">
        <v>0</v>
      </c>
      <c r="L2719" s="25">
        <v>0</v>
      </c>
      <c r="M2719" s="25">
        <v>0</v>
      </c>
      <c r="N2719" s="25">
        <v>0</v>
      </c>
      <c r="O2719" s="25">
        <v>0</v>
      </c>
      <c r="P2719" s="25">
        <v>0</v>
      </c>
      <c r="Q2719" s="25">
        <v>0</v>
      </c>
      <c r="R2719" s="25">
        <v>0</v>
      </c>
      <c r="S2719" s="25">
        <v>0</v>
      </c>
      <c r="T2719" s="10"/>
    </row>
    <row r="2720" spans="1:20">
      <c r="A2720" s="11" t="s">
        <v>95</v>
      </c>
      <c r="B2720" s="25">
        <v>0</v>
      </c>
      <c r="C2720" s="26">
        <f t="shared" si="372"/>
        <v>0</v>
      </c>
      <c r="D2720" s="26">
        <f t="shared" si="373"/>
        <v>0</v>
      </c>
      <c r="E2720" s="26">
        <f t="shared" si="374"/>
        <v>0</v>
      </c>
      <c r="F2720" s="26">
        <f t="shared" si="375"/>
        <v>0.75</v>
      </c>
      <c r="G2720" s="26">
        <f t="shared" si="376"/>
        <v>0.75</v>
      </c>
      <c r="H2720" s="26">
        <f t="shared" si="377"/>
        <v>0.75</v>
      </c>
      <c r="I2720" s="26">
        <f t="shared" si="378"/>
        <v>0.95</v>
      </c>
      <c r="J2720" s="26">
        <f t="shared" si="379"/>
        <v>0.95</v>
      </c>
      <c r="K2720" s="25">
        <v>0</v>
      </c>
      <c r="L2720" s="25">
        <v>0</v>
      </c>
      <c r="M2720" s="25">
        <v>0</v>
      </c>
      <c r="N2720" s="25">
        <v>0</v>
      </c>
      <c r="O2720" s="25">
        <v>0</v>
      </c>
      <c r="P2720" s="25">
        <v>0</v>
      </c>
      <c r="Q2720" s="25">
        <v>0</v>
      </c>
      <c r="R2720" s="25">
        <v>0</v>
      </c>
      <c r="S2720" s="25">
        <v>0</v>
      </c>
      <c r="T2720" s="10"/>
    </row>
    <row r="2721" spans="1:20">
      <c r="A2721" s="11" t="s">
        <v>130</v>
      </c>
      <c r="B2721" s="25">
        <v>0</v>
      </c>
      <c r="C2721" s="26">
        <f t="shared" si="372"/>
        <v>0</v>
      </c>
      <c r="D2721" s="26">
        <f t="shared" si="373"/>
        <v>0</v>
      </c>
      <c r="E2721" s="26">
        <f t="shared" si="374"/>
        <v>0</v>
      </c>
      <c r="F2721" s="26">
        <f t="shared" si="375"/>
        <v>0.75</v>
      </c>
      <c r="G2721" s="26">
        <f t="shared" si="376"/>
        <v>0.75</v>
      </c>
      <c r="H2721" s="26">
        <f t="shared" si="377"/>
        <v>0.75</v>
      </c>
      <c r="I2721" s="26">
        <f t="shared" si="378"/>
        <v>0.95</v>
      </c>
      <c r="J2721" s="26">
        <f t="shared" si="379"/>
        <v>0.95</v>
      </c>
      <c r="K2721" s="25">
        <v>0</v>
      </c>
      <c r="L2721" s="25">
        <v>0</v>
      </c>
      <c r="M2721" s="25">
        <v>0</v>
      </c>
      <c r="N2721" s="25">
        <v>0</v>
      </c>
      <c r="O2721" s="25">
        <v>0</v>
      </c>
      <c r="P2721" s="25">
        <v>0</v>
      </c>
      <c r="Q2721" s="25">
        <v>0</v>
      </c>
      <c r="R2721" s="25">
        <v>0</v>
      </c>
      <c r="S2721" s="25">
        <v>0</v>
      </c>
      <c r="T2721" s="10"/>
    </row>
    <row r="2722" spans="1:20">
      <c r="A2722" s="11" t="s">
        <v>96</v>
      </c>
      <c r="B2722" s="25">
        <v>0</v>
      </c>
      <c r="C2722" s="26">
        <f t="shared" si="372"/>
        <v>0</v>
      </c>
      <c r="D2722" s="26">
        <f t="shared" si="373"/>
        <v>0</v>
      </c>
      <c r="E2722" s="26">
        <f t="shared" si="374"/>
        <v>0</v>
      </c>
      <c r="F2722" s="26">
        <f t="shared" si="375"/>
        <v>0.75</v>
      </c>
      <c r="G2722" s="26">
        <f t="shared" si="376"/>
        <v>0.75</v>
      </c>
      <c r="H2722" s="26">
        <f t="shared" si="377"/>
        <v>0.75</v>
      </c>
      <c r="I2722" s="26">
        <f t="shared" si="378"/>
        <v>0.95</v>
      </c>
      <c r="J2722" s="26">
        <f t="shared" si="379"/>
        <v>0.95</v>
      </c>
      <c r="K2722" s="25">
        <v>0</v>
      </c>
      <c r="L2722" s="25">
        <v>0</v>
      </c>
      <c r="M2722" s="25">
        <v>0</v>
      </c>
      <c r="N2722" s="25">
        <v>0</v>
      </c>
      <c r="O2722" s="25">
        <v>0</v>
      </c>
      <c r="P2722" s="25">
        <v>0</v>
      </c>
      <c r="Q2722" s="25">
        <v>0</v>
      </c>
      <c r="R2722" s="25">
        <v>0</v>
      </c>
      <c r="S2722" s="25">
        <v>0</v>
      </c>
      <c r="T2722" s="10"/>
    </row>
    <row r="2723" spans="1:20">
      <c r="A2723" s="11" t="s">
        <v>97</v>
      </c>
      <c r="B2723" s="25">
        <v>0</v>
      </c>
      <c r="C2723" s="26">
        <f t="shared" si="372"/>
        <v>0</v>
      </c>
      <c r="D2723" s="26">
        <f t="shared" si="373"/>
        <v>0</v>
      </c>
      <c r="E2723" s="26">
        <f t="shared" si="374"/>
        <v>0</v>
      </c>
      <c r="F2723" s="26">
        <f t="shared" si="375"/>
        <v>0.75</v>
      </c>
      <c r="G2723" s="26">
        <f t="shared" si="376"/>
        <v>0.75</v>
      </c>
      <c r="H2723" s="26">
        <f t="shared" si="377"/>
        <v>0.75</v>
      </c>
      <c r="I2723" s="26">
        <f t="shared" si="378"/>
        <v>0.95</v>
      </c>
      <c r="J2723" s="26">
        <f t="shared" si="379"/>
        <v>0</v>
      </c>
      <c r="K2723" s="25">
        <v>0</v>
      </c>
      <c r="L2723" s="25">
        <v>0</v>
      </c>
      <c r="M2723" s="25">
        <v>0</v>
      </c>
      <c r="N2723" s="25">
        <v>0</v>
      </c>
      <c r="O2723" s="25">
        <v>0</v>
      </c>
      <c r="P2723" s="25">
        <v>0</v>
      </c>
      <c r="Q2723" s="25">
        <v>0</v>
      </c>
      <c r="R2723" s="25">
        <v>0</v>
      </c>
      <c r="S2723" s="25">
        <v>0</v>
      </c>
      <c r="T2723" s="10"/>
    </row>
    <row r="2724" spans="1:20">
      <c r="A2724" s="11" t="s">
        <v>110</v>
      </c>
      <c r="B2724" s="25">
        <v>0</v>
      </c>
      <c r="C2724" s="26">
        <f t="shared" si="372"/>
        <v>0</v>
      </c>
      <c r="D2724" s="26">
        <f t="shared" si="373"/>
        <v>0.36</v>
      </c>
      <c r="E2724" s="26">
        <f t="shared" si="374"/>
        <v>0.36</v>
      </c>
      <c r="F2724" s="26">
        <f t="shared" si="375"/>
        <v>0.91</v>
      </c>
      <c r="G2724" s="26">
        <f t="shared" si="376"/>
        <v>0.91</v>
      </c>
      <c r="H2724" s="26">
        <f t="shared" si="377"/>
        <v>0.91</v>
      </c>
      <c r="I2724" s="26">
        <f t="shared" si="378"/>
        <v>0</v>
      </c>
      <c r="J2724" s="26">
        <f t="shared" si="379"/>
        <v>0</v>
      </c>
      <c r="K2724" s="25">
        <v>0</v>
      </c>
      <c r="L2724" s="25">
        <v>0</v>
      </c>
      <c r="M2724" s="25">
        <v>0</v>
      </c>
      <c r="N2724" s="25">
        <v>0</v>
      </c>
      <c r="O2724" s="25">
        <v>0</v>
      </c>
      <c r="P2724" s="25">
        <v>0</v>
      </c>
      <c r="Q2724" s="25">
        <v>0</v>
      </c>
      <c r="R2724" s="25">
        <v>0</v>
      </c>
      <c r="S2724" s="25">
        <v>0</v>
      </c>
      <c r="T2724" s="10"/>
    </row>
    <row r="2725" spans="1:20">
      <c r="A2725" s="11" t="s">
        <v>1647</v>
      </c>
      <c r="B2725" s="25">
        <v>0</v>
      </c>
      <c r="C2725" s="26">
        <f t="shared" si="372"/>
        <v>0</v>
      </c>
      <c r="D2725" s="26">
        <f t="shared" si="373"/>
        <v>0</v>
      </c>
      <c r="E2725" s="26">
        <f t="shared" si="374"/>
        <v>0</v>
      </c>
      <c r="F2725" s="26">
        <f t="shared" si="375"/>
        <v>0.75</v>
      </c>
      <c r="G2725" s="26">
        <f t="shared" si="376"/>
        <v>0.75</v>
      </c>
      <c r="H2725" s="26">
        <f t="shared" si="377"/>
        <v>0.75</v>
      </c>
      <c r="I2725" s="26">
        <f t="shared" si="378"/>
        <v>0.95</v>
      </c>
      <c r="J2725" s="26">
        <f t="shared" si="379"/>
        <v>0.95</v>
      </c>
      <c r="K2725" s="25">
        <v>0</v>
      </c>
      <c r="L2725" s="25">
        <v>0</v>
      </c>
      <c r="M2725" s="25">
        <v>0</v>
      </c>
      <c r="N2725" s="25">
        <v>0</v>
      </c>
      <c r="O2725" s="25">
        <v>0</v>
      </c>
      <c r="P2725" s="25">
        <v>0</v>
      </c>
      <c r="Q2725" s="25">
        <v>0</v>
      </c>
      <c r="R2725" s="25">
        <v>0</v>
      </c>
      <c r="S2725" s="25">
        <v>0</v>
      </c>
      <c r="T2725" s="10"/>
    </row>
    <row r="2726" spans="1:20">
      <c r="A2726" s="11" t="s">
        <v>1646</v>
      </c>
      <c r="B2726" s="25">
        <v>0</v>
      </c>
      <c r="C2726" s="26">
        <f t="shared" si="372"/>
        <v>0</v>
      </c>
      <c r="D2726" s="26">
        <f t="shared" si="373"/>
        <v>0</v>
      </c>
      <c r="E2726" s="26">
        <f t="shared" si="374"/>
        <v>0</v>
      </c>
      <c r="F2726" s="26">
        <f t="shared" si="375"/>
        <v>0.75</v>
      </c>
      <c r="G2726" s="26">
        <f t="shared" si="376"/>
        <v>0.75</v>
      </c>
      <c r="H2726" s="26">
        <f t="shared" si="377"/>
        <v>0.75</v>
      </c>
      <c r="I2726" s="26">
        <f t="shared" si="378"/>
        <v>0.95</v>
      </c>
      <c r="J2726" s="26">
        <f t="shared" si="379"/>
        <v>0.95</v>
      </c>
      <c r="K2726" s="25">
        <v>0</v>
      </c>
      <c r="L2726" s="25">
        <v>0</v>
      </c>
      <c r="M2726" s="25">
        <v>0</v>
      </c>
      <c r="N2726" s="25">
        <v>0</v>
      </c>
      <c r="O2726" s="25">
        <v>0</v>
      </c>
      <c r="P2726" s="25">
        <v>0</v>
      </c>
      <c r="Q2726" s="25">
        <v>0</v>
      </c>
      <c r="R2726" s="25">
        <v>0</v>
      </c>
      <c r="S2726" s="25">
        <v>0</v>
      </c>
      <c r="T2726" s="10"/>
    </row>
    <row r="2727" spans="1:20">
      <c r="A2727" s="11" t="s">
        <v>98</v>
      </c>
      <c r="B2727" s="25">
        <v>0</v>
      </c>
      <c r="C2727" s="26">
        <f t="shared" si="372"/>
        <v>0</v>
      </c>
      <c r="D2727" s="26">
        <f t="shared" si="373"/>
        <v>0</v>
      </c>
      <c r="E2727" s="26">
        <f t="shared" si="374"/>
        <v>0</v>
      </c>
      <c r="F2727" s="26">
        <f t="shared" si="375"/>
        <v>0.75</v>
      </c>
      <c r="G2727" s="26">
        <f t="shared" si="376"/>
        <v>0.75</v>
      </c>
      <c r="H2727" s="26">
        <f t="shared" si="377"/>
        <v>0.75</v>
      </c>
      <c r="I2727" s="26">
        <f t="shared" si="378"/>
        <v>0.95</v>
      </c>
      <c r="J2727" s="26">
        <f t="shared" si="379"/>
        <v>0.95</v>
      </c>
      <c r="K2727" s="25">
        <v>0</v>
      </c>
      <c r="L2727" s="25">
        <v>0</v>
      </c>
      <c r="M2727" s="25">
        <v>0</v>
      </c>
      <c r="N2727" s="25">
        <v>0</v>
      </c>
      <c r="O2727" s="25">
        <v>0</v>
      </c>
      <c r="P2727" s="25">
        <v>0</v>
      </c>
      <c r="Q2727" s="25">
        <v>0</v>
      </c>
      <c r="R2727" s="25">
        <v>0</v>
      </c>
      <c r="S2727" s="25">
        <v>0</v>
      </c>
      <c r="T2727" s="10"/>
    </row>
    <row r="2728" spans="1:20">
      <c r="A2728" s="11" t="s">
        <v>99</v>
      </c>
      <c r="B2728" s="25">
        <v>0</v>
      </c>
      <c r="C2728" s="26">
        <f t="shared" si="372"/>
        <v>0</v>
      </c>
      <c r="D2728" s="26">
        <f t="shared" si="373"/>
        <v>0</v>
      </c>
      <c r="E2728" s="26">
        <f t="shared" si="374"/>
        <v>0</v>
      </c>
      <c r="F2728" s="26">
        <f t="shared" si="375"/>
        <v>0.75</v>
      </c>
      <c r="G2728" s="26">
        <f t="shared" si="376"/>
        <v>0.75</v>
      </c>
      <c r="H2728" s="26">
        <f t="shared" si="377"/>
        <v>0.75</v>
      </c>
      <c r="I2728" s="26">
        <f t="shared" si="378"/>
        <v>0.95</v>
      </c>
      <c r="J2728" s="26">
        <f t="shared" si="379"/>
        <v>0</v>
      </c>
      <c r="K2728" s="25">
        <v>0</v>
      </c>
      <c r="L2728" s="25">
        <v>0</v>
      </c>
      <c r="M2728" s="25">
        <v>0</v>
      </c>
      <c r="N2728" s="25">
        <v>0</v>
      </c>
      <c r="O2728" s="25">
        <v>0</v>
      </c>
      <c r="P2728" s="25">
        <v>0</v>
      </c>
      <c r="Q2728" s="25">
        <v>0</v>
      </c>
      <c r="R2728" s="25">
        <v>0</v>
      </c>
      <c r="S2728" s="25">
        <v>0</v>
      </c>
      <c r="T2728" s="10"/>
    </row>
    <row r="2729" spans="1:20">
      <c r="A2729" s="11" t="s">
        <v>111</v>
      </c>
      <c r="B2729" s="25">
        <v>0</v>
      </c>
      <c r="C2729" s="26">
        <f t="shared" si="372"/>
        <v>0</v>
      </c>
      <c r="D2729" s="26">
        <f t="shared" si="373"/>
        <v>0.36</v>
      </c>
      <c r="E2729" s="26">
        <f t="shared" si="374"/>
        <v>0.36</v>
      </c>
      <c r="F2729" s="26">
        <f t="shared" si="375"/>
        <v>0.91</v>
      </c>
      <c r="G2729" s="26">
        <f t="shared" si="376"/>
        <v>0.91</v>
      </c>
      <c r="H2729" s="26">
        <f t="shared" si="377"/>
        <v>0.91</v>
      </c>
      <c r="I2729" s="26">
        <f t="shared" si="378"/>
        <v>0</v>
      </c>
      <c r="J2729" s="26">
        <f t="shared" si="379"/>
        <v>0</v>
      </c>
      <c r="K2729" s="25">
        <v>0</v>
      </c>
      <c r="L2729" s="25">
        <v>0</v>
      </c>
      <c r="M2729" s="25">
        <v>0</v>
      </c>
      <c r="N2729" s="25">
        <v>0</v>
      </c>
      <c r="O2729" s="25">
        <v>0</v>
      </c>
      <c r="P2729" s="25">
        <v>0</v>
      </c>
      <c r="Q2729" s="25">
        <v>0</v>
      </c>
      <c r="R2729" s="25">
        <v>0</v>
      </c>
      <c r="S2729" s="25">
        <v>0</v>
      </c>
      <c r="T2729" s="10"/>
    </row>
    <row r="2730" spans="1:20">
      <c r="A2730" s="11" t="s">
        <v>131</v>
      </c>
      <c r="B2730" s="25">
        <v>0</v>
      </c>
      <c r="C2730" s="26">
        <f t="shared" si="372"/>
        <v>0</v>
      </c>
      <c r="D2730" s="26">
        <f t="shared" si="373"/>
        <v>0</v>
      </c>
      <c r="E2730" s="26">
        <f t="shared" si="374"/>
        <v>0</v>
      </c>
      <c r="F2730" s="26">
        <f t="shared" si="375"/>
        <v>0.75</v>
      </c>
      <c r="G2730" s="26">
        <f t="shared" si="376"/>
        <v>0.75</v>
      </c>
      <c r="H2730" s="26">
        <f t="shared" si="377"/>
        <v>0.75</v>
      </c>
      <c r="I2730" s="26">
        <f t="shared" si="378"/>
        <v>0.95</v>
      </c>
      <c r="J2730" s="26">
        <f t="shared" si="379"/>
        <v>0.95</v>
      </c>
      <c r="K2730" s="25">
        <v>0</v>
      </c>
      <c r="L2730" s="25">
        <v>0</v>
      </c>
      <c r="M2730" s="25">
        <v>0</v>
      </c>
      <c r="N2730" s="25">
        <v>0</v>
      </c>
      <c r="O2730" s="25">
        <v>0</v>
      </c>
      <c r="P2730" s="25">
        <v>0</v>
      </c>
      <c r="Q2730" s="25">
        <v>0</v>
      </c>
      <c r="R2730" s="25">
        <v>0</v>
      </c>
      <c r="S2730" s="25">
        <v>0</v>
      </c>
      <c r="T2730" s="10"/>
    </row>
    <row r="2731" spans="1:20">
      <c r="A2731" s="11" t="s">
        <v>132</v>
      </c>
      <c r="B2731" s="25">
        <v>0</v>
      </c>
      <c r="C2731" s="26">
        <f t="shared" si="372"/>
        <v>0</v>
      </c>
      <c r="D2731" s="26">
        <f t="shared" si="373"/>
        <v>0</v>
      </c>
      <c r="E2731" s="26">
        <f t="shared" si="374"/>
        <v>0</v>
      </c>
      <c r="F2731" s="26">
        <f t="shared" si="375"/>
        <v>0.75</v>
      </c>
      <c r="G2731" s="26">
        <f t="shared" si="376"/>
        <v>0.75</v>
      </c>
      <c r="H2731" s="26">
        <f t="shared" si="377"/>
        <v>0.75</v>
      </c>
      <c r="I2731" s="26">
        <f t="shared" si="378"/>
        <v>0.95</v>
      </c>
      <c r="J2731" s="26">
        <f t="shared" si="379"/>
        <v>0.95</v>
      </c>
      <c r="K2731" s="25">
        <v>0</v>
      </c>
      <c r="L2731" s="25">
        <v>0</v>
      </c>
      <c r="M2731" s="25">
        <v>0</v>
      </c>
      <c r="N2731" s="25">
        <v>0</v>
      </c>
      <c r="O2731" s="25">
        <v>0</v>
      </c>
      <c r="P2731" s="25">
        <v>0</v>
      </c>
      <c r="Q2731" s="25">
        <v>0</v>
      </c>
      <c r="R2731" s="25">
        <v>0</v>
      </c>
      <c r="S2731" s="25">
        <v>0</v>
      </c>
      <c r="T2731" s="10"/>
    </row>
    <row r="2732" spans="1:20">
      <c r="A2732" s="11" t="s">
        <v>133</v>
      </c>
      <c r="B2732" s="25">
        <v>0</v>
      </c>
      <c r="C2732" s="26">
        <f t="shared" si="372"/>
        <v>0</v>
      </c>
      <c r="D2732" s="26">
        <f t="shared" si="373"/>
        <v>0</v>
      </c>
      <c r="E2732" s="26">
        <f t="shared" si="374"/>
        <v>0</v>
      </c>
      <c r="F2732" s="26">
        <f t="shared" si="375"/>
        <v>0.75</v>
      </c>
      <c r="G2732" s="26">
        <f t="shared" si="376"/>
        <v>0.75</v>
      </c>
      <c r="H2732" s="26">
        <f t="shared" si="377"/>
        <v>0.75</v>
      </c>
      <c r="I2732" s="26">
        <f t="shared" si="378"/>
        <v>0.95</v>
      </c>
      <c r="J2732" s="26">
        <f t="shared" si="379"/>
        <v>0.95</v>
      </c>
      <c r="K2732" s="25">
        <v>0</v>
      </c>
      <c r="L2732" s="25">
        <v>0</v>
      </c>
      <c r="M2732" s="25">
        <v>0</v>
      </c>
      <c r="N2732" s="25">
        <v>0</v>
      </c>
      <c r="O2732" s="25">
        <v>0</v>
      </c>
      <c r="P2732" s="25">
        <v>0</v>
      </c>
      <c r="Q2732" s="25">
        <v>0</v>
      </c>
      <c r="R2732" s="25">
        <v>0</v>
      </c>
      <c r="S2732" s="25">
        <v>0</v>
      </c>
      <c r="T2732" s="10"/>
    </row>
    <row r="2733" spans="1:20">
      <c r="A2733" s="11" t="s">
        <v>134</v>
      </c>
      <c r="B2733" s="25">
        <v>0</v>
      </c>
      <c r="C2733" s="26">
        <f t="shared" si="372"/>
        <v>0</v>
      </c>
      <c r="D2733" s="26">
        <f t="shared" si="373"/>
        <v>0</v>
      </c>
      <c r="E2733" s="26">
        <f t="shared" si="374"/>
        <v>0</v>
      </c>
      <c r="F2733" s="26">
        <f t="shared" si="375"/>
        <v>0.75</v>
      </c>
      <c r="G2733" s="26">
        <f t="shared" si="376"/>
        <v>0.75</v>
      </c>
      <c r="H2733" s="26">
        <f t="shared" si="377"/>
        <v>0.75</v>
      </c>
      <c r="I2733" s="26">
        <f t="shared" si="378"/>
        <v>0.95</v>
      </c>
      <c r="J2733" s="26">
        <f t="shared" si="379"/>
        <v>0.95</v>
      </c>
      <c r="K2733" s="25">
        <v>0</v>
      </c>
      <c r="L2733" s="25">
        <v>0</v>
      </c>
      <c r="M2733" s="25">
        <v>0</v>
      </c>
      <c r="N2733" s="25">
        <v>0</v>
      </c>
      <c r="O2733" s="25">
        <v>0</v>
      </c>
      <c r="P2733" s="25">
        <v>0</v>
      </c>
      <c r="Q2733" s="25">
        <v>0</v>
      </c>
      <c r="R2733" s="25">
        <v>0</v>
      </c>
      <c r="S2733" s="25">
        <v>0</v>
      </c>
      <c r="T2733" s="10"/>
    </row>
    <row r="2734" spans="1:20">
      <c r="A2734" s="11" t="s">
        <v>135</v>
      </c>
      <c r="B2734" s="25">
        <v>0</v>
      </c>
      <c r="C2734" s="26">
        <f t="shared" si="372"/>
        <v>0</v>
      </c>
      <c r="D2734" s="26">
        <f t="shared" si="373"/>
        <v>0</v>
      </c>
      <c r="E2734" s="26">
        <f t="shared" si="374"/>
        <v>0</v>
      </c>
      <c r="F2734" s="26">
        <f t="shared" si="375"/>
        <v>0.75</v>
      </c>
      <c r="G2734" s="26">
        <f t="shared" si="376"/>
        <v>0.75</v>
      </c>
      <c r="H2734" s="26">
        <f t="shared" si="377"/>
        <v>0.75</v>
      </c>
      <c r="I2734" s="26">
        <f t="shared" si="378"/>
        <v>0.95</v>
      </c>
      <c r="J2734" s="26">
        <f t="shared" si="379"/>
        <v>0.95</v>
      </c>
      <c r="K2734" s="25">
        <v>0</v>
      </c>
      <c r="L2734" s="25">
        <v>0</v>
      </c>
      <c r="M2734" s="25">
        <v>0</v>
      </c>
      <c r="N2734" s="25">
        <v>0</v>
      </c>
      <c r="O2734" s="25">
        <v>0</v>
      </c>
      <c r="P2734" s="25">
        <v>0</v>
      </c>
      <c r="Q2734" s="25">
        <v>0</v>
      </c>
      <c r="R2734" s="25">
        <v>0</v>
      </c>
      <c r="S2734" s="25">
        <v>0</v>
      </c>
      <c r="T2734" s="10"/>
    </row>
    <row r="2735" spans="1:20">
      <c r="A2735" s="11" t="s">
        <v>1645</v>
      </c>
      <c r="B2735" s="25">
        <v>0</v>
      </c>
      <c r="C2735" s="26">
        <f t="shared" si="372"/>
        <v>0</v>
      </c>
      <c r="D2735" s="26">
        <f t="shared" si="373"/>
        <v>0</v>
      </c>
      <c r="E2735" s="26">
        <f t="shared" si="374"/>
        <v>0</v>
      </c>
      <c r="F2735" s="26">
        <f t="shared" si="375"/>
        <v>0.75</v>
      </c>
      <c r="G2735" s="26">
        <f t="shared" si="376"/>
        <v>0.75</v>
      </c>
      <c r="H2735" s="26">
        <f t="shared" si="377"/>
        <v>0.75</v>
      </c>
      <c r="I2735" s="26">
        <f t="shared" si="378"/>
        <v>0.95</v>
      </c>
      <c r="J2735" s="26">
        <f t="shared" si="379"/>
        <v>0.95</v>
      </c>
      <c r="K2735" s="25">
        <v>0</v>
      </c>
      <c r="L2735" s="25">
        <v>0</v>
      </c>
      <c r="M2735" s="25">
        <v>0</v>
      </c>
      <c r="N2735" s="25">
        <v>0</v>
      </c>
      <c r="O2735" s="25">
        <v>0</v>
      </c>
      <c r="P2735" s="25">
        <v>0</v>
      </c>
      <c r="Q2735" s="25">
        <v>0</v>
      </c>
      <c r="R2735" s="25">
        <v>0</v>
      </c>
      <c r="S2735" s="25">
        <v>0</v>
      </c>
      <c r="T2735" s="10"/>
    </row>
    <row r="2736" spans="1:20">
      <c r="A2736" s="11" t="s">
        <v>100</v>
      </c>
      <c r="B2736" s="25">
        <v>0</v>
      </c>
      <c r="C2736" s="26">
        <f t="shared" si="372"/>
        <v>0</v>
      </c>
      <c r="D2736" s="26">
        <f t="shared" si="373"/>
        <v>0</v>
      </c>
      <c r="E2736" s="26">
        <f t="shared" si="374"/>
        <v>0</v>
      </c>
      <c r="F2736" s="26">
        <f t="shared" si="375"/>
        <v>0.75</v>
      </c>
      <c r="G2736" s="26">
        <f t="shared" si="376"/>
        <v>0.75</v>
      </c>
      <c r="H2736" s="26">
        <f t="shared" si="377"/>
        <v>0.75</v>
      </c>
      <c r="I2736" s="26">
        <f t="shared" si="378"/>
        <v>0.95</v>
      </c>
      <c r="J2736" s="26">
        <f t="shared" si="379"/>
        <v>0</v>
      </c>
      <c r="K2736" s="25">
        <v>0</v>
      </c>
      <c r="L2736" s="25">
        <v>0</v>
      </c>
      <c r="M2736" s="25">
        <v>0</v>
      </c>
      <c r="N2736" s="25">
        <v>0</v>
      </c>
      <c r="O2736" s="25">
        <v>0</v>
      </c>
      <c r="P2736" s="25">
        <v>0</v>
      </c>
      <c r="Q2736" s="25">
        <v>0</v>
      </c>
      <c r="R2736" s="25">
        <v>0</v>
      </c>
      <c r="S2736" s="25">
        <v>0</v>
      </c>
      <c r="T2736" s="10"/>
    </row>
    <row r="2737" spans="1:20">
      <c r="A2737" s="11" t="s">
        <v>101</v>
      </c>
      <c r="B2737" s="25">
        <v>0</v>
      </c>
      <c r="C2737" s="26">
        <f t="shared" si="372"/>
        <v>0</v>
      </c>
      <c r="D2737" s="26">
        <f t="shared" si="373"/>
        <v>0</v>
      </c>
      <c r="E2737" s="26">
        <f t="shared" si="374"/>
        <v>0</v>
      </c>
      <c r="F2737" s="26">
        <f t="shared" si="375"/>
        <v>0.75</v>
      </c>
      <c r="G2737" s="26">
        <f t="shared" si="376"/>
        <v>0.75</v>
      </c>
      <c r="H2737" s="26">
        <f t="shared" si="377"/>
        <v>0.75</v>
      </c>
      <c r="I2737" s="26">
        <f t="shared" si="378"/>
        <v>0.95</v>
      </c>
      <c r="J2737" s="26">
        <f t="shared" si="379"/>
        <v>0.95</v>
      </c>
      <c r="K2737" s="25">
        <v>0</v>
      </c>
      <c r="L2737" s="25">
        <v>0</v>
      </c>
      <c r="M2737" s="25">
        <v>0</v>
      </c>
      <c r="N2737" s="25">
        <v>0</v>
      </c>
      <c r="O2737" s="25">
        <v>0</v>
      </c>
      <c r="P2737" s="25">
        <v>0</v>
      </c>
      <c r="Q2737" s="25">
        <v>0</v>
      </c>
      <c r="R2737" s="25">
        <v>0</v>
      </c>
      <c r="S2737" s="25">
        <v>0</v>
      </c>
      <c r="T2737" s="10"/>
    </row>
    <row r="2738" spans="1:20">
      <c r="A2738" s="11" t="s">
        <v>102</v>
      </c>
      <c r="B2738" s="25">
        <v>0</v>
      </c>
      <c r="C2738" s="26">
        <f t="shared" si="372"/>
        <v>0</v>
      </c>
      <c r="D2738" s="26">
        <f t="shared" si="373"/>
        <v>0</v>
      </c>
      <c r="E2738" s="26">
        <f t="shared" si="374"/>
        <v>0</v>
      </c>
      <c r="F2738" s="26">
        <f t="shared" si="375"/>
        <v>0.75</v>
      </c>
      <c r="G2738" s="26">
        <f t="shared" si="376"/>
        <v>0.75</v>
      </c>
      <c r="H2738" s="26">
        <f t="shared" si="377"/>
        <v>0.75</v>
      </c>
      <c r="I2738" s="26">
        <f t="shared" si="378"/>
        <v>0.95</v>
      </c>
      <c r="J2738" s="26">
        <f t="shared" si="379"/>
        <v>0.95</v>
      </c>
      <c r="K2738" s="25">
        <v>0</v>
      </c>
      <c r="L2738" s="25">
        <v>0</v>
      </c>
      <c r="M2738" s="25">
        <v>0</v>
      </c>
      <c r="N2738" s="25">
        <v>0</v>
      </c>
      <c r="O2738" s="25">
        <v>0</v>
      </c>
      <c r="P2738" s="25">
        <v>0</v>
      </c>
      <c r="Q2738" s="25">
        <v>0</v>
      </c>
      <c r="R2738" s="25">
        <v>0</v>
      </c>
      <c r="S2738" s="25">
        <v>0</v>
      </c>
      <c r="T2738" s="10"/>
    </row>
    <row r="2739" spans="1:20">
      <c r="A2739" s="11" t="s">
        <v>103</v>
      </c>
      <c r="B2739" s="25">
        <v>0</v>
      </c>
      <c r="C2739" s="26">
        <f t="shared" si="372"/>
        <v>0</v>
      </c>
      <c r="D2739" s="26">
        <f t="shared" si="373"/>
        <v>0</v>
      </c>
      <c r="E2739" s="26">
        <f t="shared" si="374"/>
        <v>0</v>
      </c>
      <c r="F2739" s="26">
        <f t="shared" si="375"/>
        <v>0.75</v>
      </c>
      <c r="G2739" s="26">
        <f t="shared" si="376"/>
        <v>0.75</v>
      </c>
      <c r="H2739" s="26">
        <f t="shared" si="377"/>
        <v>0.75</v>
      </c>
      <c r="I2739" s="26">
        <f t="shared" si="378"/>
        <v>0.95</v>
      </c>
      <c r="J2739" s="26">
        <f t="shared" si="379"/>
        <v>0</v>
      </c>
      <c r="K2739" s="25">
        <v>0</v>
      </c>
      <c r="L2739" s="25">
        <v>0</v>
      </c>
      <c r="M2739" s="25">
        <v>0</v>
      </c>
      <c r="N2739" s="25">
        <v>0</v>
      </c>
      <c r="O2739" s="25">
        <v>0</v>
      </c>
      <c r="P2739" s="25">
        <v>0</v>
      </c>
      <c r="Q2739" s="25">
        <v>0</v>
      </c>
      <c r="R2739" s="25">
        <v>0</v>
      </c>
      <c r="S2739" s="25">
        <v>0</v>
      </c>
      <c r="T2739" s="10"/>
    </row>
    <row r="2740" spans="1:20">
      <c r="A2740" s="11" t="s">
        <v>104</v>
      </c>
      <c r="B2740" s="25">
        <v>0</v>
      </c>
      <c r="C2740" s="26">
        <f t="shared" si="372"/>
        <v>0</v>
      </c>
      <c r="D2740" s="26">
        <f t="shared" si="373"/>
        <v>0</v>
      </c>
      <c r="E2740" s="26">
        <f t="shared" si="374"/>
        <v>0</v>
      </c>
      <c r="F2740" s="26">
        <f t="shared" si="375"/>
        <v>0.75</v>
      </c>
      <c r="G2740" s="26">
        <f t="shared" si="376"/>
        <v>0.75</v>
      </c>
      <c r="H2740" s="26">
        <f t="shared" si="377"/>
        <v>0.75</v>
      </c>
      <c r="I2740" s="26">
        <f t="shared" si="378"/>
        <v>0.95</v>
      </c>
      <c r="J2740" s="26">
        <f t="shared" si="379"/>
        <v>0</v>
      </c>
      <c r="K2740" s="25">
        <v>0</v>
      </c>
      <c r="L2740" s="25">
        <v>0</v>
      </c>
      <c r="M2740" s="25">
        <v>0</v>
      </c>
      <c r="N2740" s="25">
        <v>0</v>
      </c>
      <c r="O2740" s="25">
        <v>0</v>
      </c>
      <c r="P2740" s="25">
        <v>0</v>
      </c>
      <c r="Q2740" s="25">
        <v>0</v>
      </c>
      <c r="R2740" s="25">
        <v>0</v>
      </c>
      <c r="S2740" s="25">
        <v>0</v>
      </c>
      <c r="T2740" s="10"/>
    </row>
    <row r="2741" spans="1:20">
      <c r="A2741" s="11" t="s">
        <v>112</v>
      </c>
      <c r="B2741" s="25">
        <v>0</v>
      </c>
      <c r="C2741" s="26">
        <f t="shared" si="372"/>
        <v>0</v>
      </c>
      <c r="D2741" s="26">
        <f t="shared" si="373"/>
        <v>0.36</v>
      </c>
      <c r="E2741" s="26">
        <f t="shared" si="374"/>
        <v>0.36</v>
      </c>
      <c r="F2741" s="26">
        <f t="shared" si="375"/>
        <v>0.91</v>
      </c>
      <c r="G2741" s="26">
        <f t="shared" si="376"/>
        <v>0.91</v>
      </c>
      <c r="H2741" s="26">
        <f t="shared" si="377"/>
        <v>0.91</v>
      </c>
      <c r="I2741" s="26">
        <f t="shared" si="378"/>
        <v>0</v>
      </c>
      <c r="J2741" s="26">
        <f t="shared" si="379"/>
        <v>0</v>
      </c>
      <c r="K2741" s="25">
        <v>0</v>
      </c>
      <c r="L2741" s="25">
        <v>0</v>
      </c>
      <c r="M2741" s="25">
        <v>0</v>
      </c>
      <c r="N2741" s="25">
        <v>0</v>
      </c>
      <c r="O2741" s="25">
        <v>0</v>
      </c>
      <c r="P2741" s="25">
        <v>0</v>
      </c>
      <c r="Q2741" s="25">
        <v>0</v>
      </c>
      <c r="R2741" s="25">
        <v>0</v>
      </c>
      <c r="S2741" s="25">
        <v>0</v>
      </c>
      <c r="T2741" s="10"/>
    </row>
    <row r="2742" spans="1:20">
      <c r="A2742" s="11" t="s">
        <v>113</v>
      </c>
      <c r="B2742" s="25">
        <v>0</v>
      </c>
      <c r="C2742" s="26">
        <f t="shared" si="372"/>
        <v>0</v>
      </c>
      <c r="D2742" s="26">
        <f t="shared" si="373"/>
        <v>0.36</v>
      </c>
      <c r="E2742" s="26">
        <f t="shared" si="374"/>
        <v>0.36</v>
      </c>
      <c r="F2742" s="26">
        <f t="shared" si="375"/>
        <v>0.91</v>
      </c>
      <c r="G2742" s="26">
        <f t="shared" si="376"/>
        <v>0.91</v>
      </c>
      <c r="H2742" s="26">
        <f t="shared" si="377"/>
        <v>0.91</v>
      </c>
      <c r="I2742" s="26">
        <f t="shared" si="378"/>
        <v>0</v>
      </c>
      <c r="J2742" s="26">
        <f t="shared" si="379"/>
        <v>0</v>
      </c>
      <c r="K2742" s="25">
        <v>0</v>
      </c>
      <c r="L2742" s="25">
        <v>0</v>
      </c>
      <c r="M2742" s="25">
        <v>0</v>
      </c>
      <c r="N2742" s="25">
        <v>0</v>
      </c>
      <c r="O2742" s="25">
        <v>0</v>
      </c>
      <c r="P2742" s="25">
        <v>0</v>
      </c>
      <c r="Q2742" s="25">
        <v>0</v>
      </c>
      <c r="R2742" s="25">
        <v>0</v>
      </c>
      <c r="S2742" s="25">
        <v>0</v>
      </c>
      <c r="T2742" s="10"/>
    </row>
    <row r="2744" spans="1:20" ht="21" customHeight="1">
      <c r="A2744" s="1" t="str">
        <f>"Yardsticks"&amp;" for "&amp;CDCM!B7&amp;" in "&amp;CDCM!C7&amp;" ("&amp;CDCM!D7&amp;")"</f>
        <v>Yardsticks for 0 in 0 (0)</v>
      </c>
    </row>
    <row r="2745" spans="1:20">
      <c r="A2745" s="2" t="s">
        <v>714</v>
      </c>
    </row>
    <row r="2747" spans="1:20" ht="21" customHeight="1">
      <c r="A2747" s="1" t="s">
        <v>715</v>
      </c>
    </row>
    <row r="2748" spans="1:20">
      <c r="A2748" s="2" t="s">
        <v>255</v>
      </c>
    </row>
    <row r="2749" spans="1:20">
      <c r="A2749" s="12" t="s">
        <v>716</v>
      </c>
    </row>
    <row r="2750" spans="1:20">
      <c r="A2750" s="12" t="s">
        <v>717</v>
      </c>
    </row>
    <row r="2751" spans="1:20">
      <c r="A2751" s="2" t="s">
        <v>273</v>
      </c>
    </row>
    <row r="2753" spans="1:20" ht="30">
      <c r="B2753" s="3" t="s">
        <v>60</v>
      </c>
      <c r="C2753" s="3" t="s">
        <v>220</v>
      </c>
      <c r="D2753" s="3" t="s">
        <v>221</v>
      </c>
      <c r="E2753" s="3" t="s">
        <v>222</v>
      </c>
      <c r="F2753" s="3" t="s">
        <v>223</v>
      </c>
      <c r="G2753" s="3" t="s">
        <v>224</v>
      </c>
      <c r="H2753" s="3" t="s">
        <v>225</v>
      </c>
      <c r="I2753" s="3" t="s">
        <v>226</v>
      </c>
      <c r="J2753" s="3" t="s">
        <v>227</v>
      </c>
      <c r="K2753" s="3" t="s">
        <v>208</v>
      </c>
      <c r="L2753" s="3" t="s">
        <v>624</v>
      </c>
      <c r="M2753" s="3" t="s">
        <v>625</v>
      </c>
      <c r="N2753" s="3" t="s">
        <v>626</v>
      </c>
      <c r="O2753" s="3" t="s">
        <v>627</v>
      </c>
      <c r="P2753" s="3" t="s">
        <v>628</v>
      </c>
      <c r="Q2753" s="3" t="s">
        <v>629</v>
      </c>
      <c r="R2753" s="3" t="s">
        <v>630</v>
      </c>
      <c r="S2753" s="3" t="s">
        <v>631</v>
      </c>
    </row>
    <row r="2754" spans="1:20" ht="30">
      <c r="A2754" s="11" t="s">
        <v>718</v>
      </c>
      <c r="B2754" s="9"/>
      <c r="C2754" s="7">
        <f>$B$727</f>
        <v>19.276347308840901</v>
      </c>
      <c r="D2754" s="7">
        <f>$B$728</f>
        <v>2.4431203087877109</v>
      </c>
      <c r="E2754" s="7">
        <f>$B$729</f>
        <v>7.3411305617467706</v>
      </c>
      <c r="F2754" s="7">
        <f>$B$730</f>
        <v>6.4358611856280774</v>
      </c>
      <c r="G2754" s="7">
        <f>$B$731</f>
        <v>4.8357029711565902</v>
      </c>
      <c r="H2754" s="7">
        <f>$B$732</f>
        <v>21.920409642073491</v>
      </c>
      <c r="I2754" s="7">
        <f>$B$733</f>
        <v>8.6316044024150198</v>
      </c>
      <c r="J2754" s="7">
        <f>$B$734</f>
        <v>18.128057136479079</v>
      </c>
      <c r="K2754" s="7">
        <f>$B2569</f>
        <v>6.8095738880868391</v>
      </c>
      <c r="L2754" s="7">
        <f>$C2569</f>
        <v>10.127207430697011</v>
      </c>
      <c r="M2754" s="7">
        <f>$D2569</f>
        <v>1.283541209796216</v>
      </c>
      <c r="N2754" s="7">
        <f>$E2569</f>
        <v>3.8568070383615249</v>
      </c>
      <c r="O2754" s="7">
        <f>$F2569</f>
        <v>3.3812060022457811</v>
      </c>
      <c r="P2754" s="7">
        <f>$G2569</f>
        <v>2.5405314750518144</v>
      </c>
      <c r="Q2754" s="7">
        <f>$H2569</f>
        <v>11.516317477290654</v>
      </c>
      <c r="R2754" s="7">
        <f>$I2569</f>
        <v>4.5347828010383937</v>
      </c>
      <c r="S2754" s="7">
        <f>$J2569</f>
        <v>9.5239306490628994</v>
      </c>
      <c r="T2754" s="10"/>
    </row>
    <row r="2756" spans="1:20" ht="21" customHeight="1">
      <c r="A2756" s="1" t="s">
        <v>719</v>
      </c>
    </row>
    <row r="2757" spans="1:20">
      <c r="A2757" s="2" t="s">
        <v>255</v>
      </c>
    </row>
    <row r="2758" spans="1:20">
      <c r="A2758" s="12" t="s">
        <v>720</v>
      </c>
    </row>
    <row r="2759" spans="1:20">
      <c r="A2759" s="12" t="s">
        <v>557</v>
      </c>
    </row>
    <row r="2760" spans="1:20">
      <c r="A2760" s="12" t="s">
        <v>546</v>
      </c>
    </row>
    <row r="2761" spans="1:20">
      <c r="A2761" s="12" t="s">
        <v>721</v>
      </c>
    </row>
    <row r="2762" spans="1:20">
      <c r="A2762" s="12" t="s">
        <v>525</v>
      </c>
    </row>
    <row r="2763" spans="1:20">
      <c r="A2763" s="2" t="s">
        <v>722</v>
      </c>
    </row>
    <row r="2765" spans="1:20" ht="30">
      <c r="B2765" s="3" t="s">
        <v>60</v>
      </c>
      <c r="C2765" s="3" t="s">
        <v>220</v>
      </c>
      <c r="D2765" s="3" t="s">
        <v>221</v>
      </c>
      <c r="E2765" s="3" t="s">
        <v>222</v>
      </c>
      <c r="F2765" s="3" t="s">
        <v>223</v>
      </c>
      <c r="G2765" s="3" t="s">
        <v>224</v>
      </c>
      <c r="H2765" s="3" t="s">
        <v>225</v>
      </c>
      <c r="I2765" s="3" t="s">
        <v>226</v>
      </c>
      <c r="J2765" s="3" t="s">
        <v>227</v>
      </c>
      <c r="K2765" s="3" t="s">
        <v>208</v>
      </c>
      <c r="L2765" s="3" t="s">
        <v>624</v>
      </c>
      <c r="M2765" s="3" t="s">
        <v>625</v>
      </c>
      <c r="N2765" s="3" t="s">
        <v>626</v>
      </c>
      <c r="O2765" s="3" t="s">
        <v>627</v>
      </c>
      <c r="P2765" s="3" t="s">
        <v>628</v>
      </c>
      <c r="Q2765" s="3" t="s">
        <v>629</v>
      </c>
      <c r="R2765" s="3" t="s">
        <v>630</v>
      </c>
      <c r="S2765" s="3" t="s">
        <v>631</v>
      </c>
    </row>
    <row r="2766" spans="1:20">
      <c r="A2766" s="11" t="s">
        <v>92</v>
      </c>
      <c r="B2766" s="6">
        <f t="shared" ref="B2766:J2766" si="380">B$2754*$B914*B570*(1-B2716)/(24*$F$14)*100</f>
        <v>0</v>
      </c>
      <c r="C2766" s="6">
        <f t="shared" si="380"/>
        <v>0.4595832198527755</v>
      </c>
      <c r="D2766" s="6">
        <f t="shared" si="380"/>
        <v>4.0592992158920094E-2</v>
      </c>
      <c r="E2766" s="6">
        <f t="shared" si="380"/>
        <v>0.1204543037571434</v>
      </c>
      <c r="F2766" s="6">
        <f t="shared" si="380"/>
        <v>2.6198601393978446E-2</v>
      </c>
      <c r="G2766" s="6">
        <f t="shared" si="380"/>
        <v>8.436343811670936E-3</v>
      </c>
      <c r="H2766" s="6">
        <f t="shared" si="380"/>
        <v>0.12637511219231579</v>
      </c>
      <c r="I2766" s="6">
        <f t="shared" si="380"/>
        <v>9.7645375856718654E-3</v>
      </c>
      <c r="J2766" s="6">
        <f t="shared" si="380"/>
        <v>2.0110520202047965E-2</v>
      </c>
      <c r="K2766" s="6">
        <f t="shared" ref="K2766:K2792" si="381">K$2754*$B914*B570*(1-K2716)/(24*$F$14)*100</f>
        <v>0.1639274615594935</v>
      </c>
      <c r="L2766" s="6">
        <f t="shared" ref="L2766:L2792" si="382">L$2754*$B914*C570*(1-L2716)/(24*$F$14)*100</f>
        <v>0.24145106562704649</v>
      </c>
      <c r="M2766" s="6">
        <f t="shared" ref="M2766:M2792" si="383">M$2754*$B914*D570*(1-M2716)/(24*$F$14)*100</f>
        <v>2.1326325223321597E-2</v>
      </c>
      <c r="N2766" s="6">
        <f t="shared" ref="N2766:N2792" si="384">N$2754*$B914*E570*(1-N2716)/(24*$F$14)*100</f>
        <v>6.3283032854948545E-2</v>
      </c>
      <c r="O2766" s="6">
        <f t="shared" ref="O2766:O2792" si="385">O$2754*$B914*F570*(1-O2716)/(24*$F$14)*100</f>
        <v>5.5055797960079707E-2</v>
      </c>
      <c r="P2766" s="6">
        <f t="shared" ref="P2766:P2792" si="386">P$2754*$B914*G570*(1-P2716)/(24*$F$14)*100</f>
        <v>1.7728795267822145E-2</v>
      </c>
      <c r="Q2766" s="6">
        <f t="shared" ref="Q2766:Q2792" si="387">Q$2754*$B914*H570*(1-Q2716)/(24*$F$14)*100</f>
        <v>0.26557458313945392</v>
      </c>
      <c r="R2766" s="6">
        <f t="shared" ref="R2766:R2792" si="388">R$2754*$B914*I570*(1-R2716)/(24*$F$14)*100</f>
        <v>0.10259982974013193</v>
      </c>
      <c r="S2766" s="6">
        <f t="shared" ref="S2766:S2792" si="389">S$2754*$B914*J570*(1-S2716)/(24*$F$14)*100</f>
        <v>0.21130913067949783</v>
      </c>
      <c r="T2766" s="10"/>
    </row>
    <row r="2767" spans="1:20">
      <c r="A2767" s="11" t="s">
        <v>93</v>
      </c>
      <c r="B2767" s="6">
        <f t="shared" ref="B2767:J2767" si="390">B$2754*$B915*B571*(1-B2717)/(24*$F$14)*100</f>
        <v>0</v>
      </c>
      <c r="C2767" s="6">
        <f t="shared" si="390"/>
        <v>0.27227444776635307</v>
      </c>
      <c r="D2767" s="6">
        <f t="shared" si="390"/>
        <v>2.4048820857285529E-2</v>
      </c>
      <c r="E2767" s="6">
        <f t="shared" si="390"/>
        <v>7.1361676449072611E-2</v>
      </c>
      <c r="F2767" s="6">
        <f t="shared" si="390"/>
        <v>1.5521040409354734E-2</v>
      </c>
      <c r="G2767" s="6">
        <f t="shared" si="390"/>
        <v>4.9980085287396336E-3</v>
      </c>
      <c r="H2767" s="6">
        <f t="shared" si="390"/>
        <v>7.4869386864464496E-2</v>
      </c>
      <c r="I2767" s="6">
        <f t="shared" si="390"/>
        <v>5.784880657053325E-3</v>
      </c>
      <c r="J2767" s="6">
        <f t="shared" si="390"/>
        <v>1.1914231298655256E-2</v>
      </c>
      <c r="K2767" s="6">
        <f t="shared" si="381"/>
        <v>9.7116816153882068E-2</v>
      </c>
      <c r="L2767" s="6">
        <f t="shared" si="382"/>
        <v>0.14304472556082715</v>
      </c>
      <c r="M2767" s="6">
        <f t="shared" si="383"/>
        <v>1.2634520087407989E-2</v>
      </c>
      <c r="N2767" s="6">
        <f t="shared" si="384"/>
        <v>3.7491257468191985E-2</v>
      </c>
      <c r="O2767" s="6">
        <f t="shared" si="385"/>
        <v>3.2617132955199392E-2</v>
      </c>
      <c r="P2767" s="6">
        <f t="shared" si="386"/>
        <v>1.050320754238011E-2</v>
      </c>
      <c r="Q2767" s="6">
        <f t="shared" si="387"/>
        <v>0.15733640794857132</v>
      </c>
      <c r="R2767" s="6">
        <f t="shared" si="388"/>
        <v>6.0784012071557265E-2</v>
      </c>
      <c r="S2767" s="6">
        <f t="shared" si="389"/>
        <v>0.12518750550156962</v>
      </c>
      <c r="T2767" s="10"/>
    </row>
    <row r="2768" spans="1:20">
      <c r="A2768" s="11" t="s">
        <v>129</v>
      </c>
      <c r="B2768" s="6">
        <f t="shared" ref="B2768:J2768" si="391">B$2754*$B916*B572*(1-B2718)/(24*$F$14)*100</f>
        <v>0</v>
      </c>
      <c r="C2768" s="6">
        <f t="shared" si="391"/>
        <v>0</v>
      </c>
      <c r="D2768" s="6">
        <f t="shared" si="391"/>
        <v>0</v>
      </c>
      <c r="E2768" s="6">
        <f t="shared" si="391"/>
        <v>0</v>
      </c>
      <c r="F2768" s="6">
        <f t="shared" si="391"/>
        <v>0</v>
      </c>
      <c r="G2768" s="6">
        <f t="shared" si="391"/>
        <v>0</v>
      </c>
      <c r="H2768" s="6">
        <f t="shared" si="391"/>
        <v>0</v>
      </c>
      <c r="I2768" s="6">
        <f t="shared" si="391"/>
        <v>0</v>
      </c>
      <c r="J2768" s="6">
        <f t="shared" si="391"/>
        <v>0</v>
      </c>
      <c r="K2768" s="6">
        <f t="shared" si="381"/>
        <v>0</v>
      </c>
      <c r="L2768" s="6">
        <f t="shared" si="382"/>
        <v>0</v>
      </c>
      <c r="M2768" s="6">
        <f t="shared" si="383"/>
        <v>0</v>
      </c>
      <c r="N2768" s="6">
        <f t="shared" si="384"/>
        <v>0</v>
      </c>
      <c r="O2768" s="6">
        <f t="shared" si="385"/>
        <v>0</v>
      </c>
      <c r="P2768" s="6">
        <f t="shared" si="386"/>
        <v>0</v>
      </c>
      <c r="Q2768" s="6">
        <f t="shared" si="387"/>
        <v>0</v>
      </c>
      <c r="R2768" s="6">
        <f t="shared" si="388"/>
        <v>0</v>
      </c>
      <c r="S2768" s="6">
        <f t="shared" si="389"/>
        <v>0</v>
      </c>
      <c r="T2768" s="10"/>
    </row>
    <row r="2769" spans="1:20">
      <c r="A2769" s="11" t="s">
        <v>94</v>
      </c>
      <c r="B2769" s="6">
        <f t="shared" ref="B2769:J2769" si="392">B$2754*$B917*B573*(1-B2719)/(24*$F$14)*100</f>
        <v>0</v>
      </c>
      <c r="C2769" s="6">
        <f t="shared" si="392"/>
        <v>0.36146021878238083</v>
      </c>
      <c r="D2769" s="6">
        <f t="shared" si="392"/>
        <v>3.1926213127396269E-2</v>
      </c>
      <c r="E2769" s="6">
        <f t="shared" si="392"/>
        <v>9.4736790005701219E-2</v>
      </c>
      <c r="F2769" s="6">
        <f t="shared" si="392"/>
        <v>2.060508691917301E-2</v>
      </c>
      <c r="G2769" s="6">
        <f t="shared" si="392"/>
        <v>6.6351479953224097E-3</v>
      </c>
      <c r="H2769" s="6">
        <f t="shared" si="392"/>
        <v>9.9393480284844932E-2</v>
      </c>
      <c r="I2769" s="6">
        <f t="shared" si="392"/>
        <v>7.6797666658856333E-3</v>
      </c>
      <c r="J2769" s="6">
        <f t="shared" si="392"/>
        <v>1.5816837338814012E-2</v>
      </c>
      <c r="K2769" s="6">
        <f t="shared" si="381"/>
        <v>0.12892824098041752</v>
      </c>
      <c r="L2769" s="6">
        <f t="shared" si="382"/>
        <v>0.18990022097575537</v>
      </c>
      <c r="M2769" s="6">
        <f t="shared" si="383"/>
        <v>1.6773062740444347E-2</v>
      </c>
      <c r="N2769" s="6">
        <f t="shared" si="384"/>
        <v>4.9771832201118929E-2</v>
      </c>
      <c r="O2769" s="6">
        <f t="shared" si="385"/>
        <v>4.3301147466315151E-2</v>
      </c>
      <c r="P2769" s="6">
        <f t="shared" si="386"/>
        <v>1.3943620957936354E-2</v>
      </c>
      <c r="Q2769" s="6">
        <f t="shared" si="387"/>
        <v>0.20887326337845377</v>
      </c>
      <c r="R2769" s="6">
        <f t="shared" si="388"/>
        <v>8.0694323253976269E-2</v>
      </c>
      <c r="S2769" s="6">
        <f t="shared" si="389"/>
        <v>0.16619371923673321</v>
      </c>
      <c r="T2769" s="10"/>
    </row>
    <row r="2770" spans="1:20">
      <c r="A2770" s="11" t="s">
        <v>95</v>
      </c>
      <c r="B2770" s="6">
        <f t="shared" ref="B2770:J2770" si="393">B$2754*$B918*B574*(1-B2720)/(24*$F$14)*100</f>
        <v>0</v>
      </c>
      <c r="C2770" s="6">
        <f t="shared" si="393"/>
        <v>0.31066914464599971</v>
      </c>
      <c r="D2770" s="6">
        <f t="shared" si="393"/>
        <v>2.7440057878251795E-2</v>
      </c>
      <c r="E2770" s="6">
        <f t="shared" si="393"/>
        <v>8.1424721140055722E-2</v>
      </c>
      <c r="F2770" s="6">
        <f t="shared" si="393"/>
        <v>1.7709735113035866E-2</v>
      </c>
      <c r="G2770" s="6">
        <f t="shared" si="393"/>
        <v>5.7028011526421164E-3</v>
      </c>
      <c r="H2770" s="6">
        <f t="shared" si="393"/>
        <v>8.5427070252708431E-2</v>
      </c>
      <c r="I2770" s="6">
        <f t="shared" si="393"/>
        <v>6.6006338102948337E-3</v>
      </c>
      <c r="J2770" s="6">
        <f t="shared" si="393"/>
        <v>1.3594312933265396E-2</v>
      </c>
      <c r="K2770" s="6">
        <f t="shared" si="381"/>
        <v>0.11081171388936271</v>
      </c>
      <c r="L2770" s="6">
        <f t="shared" si="382"/>
        <v>0.16321613320923489</v>
      </c>
      <c r="M2770" s="6">
        <f t="shared" si="383"/>
        <v>1.4416173022361749E-2</v>
      </c>
      <c r="N2770" s="6">
        <f t="shared" si="384"/>
        <v>4.2778075522316814E-2</v>
      </c>
      <c r="O2770" s="6">
        <f t="shared" si="385"/>
        <v>3.7216627851513244E-2</v>
      </c>
      <c r="P2770" s="6">
        <f t="shared" si="386"/>
        <v>1.1984314099245701E-2</v>
      </c>
      <c r="Q2770" s="6">
        <f t="shared" si="387"/>
        <v>0.17952315276019498</v>
      </c>
      <c r="R2770" s="6">
        <f t="shared" si="388"/>
        <v>6.9355450698140822E-2</v>
      </c>
      <c r="S2770" s="6">
        <f t="shared" si="389"/>
        <v>0.1428407827968981</v>
      </c>
      <c r="T2770" s="10"/>
    </row>
    <row r="2771" spans="1:20">
      <c r="A2771" s="11" t="s">
        <v>130</v>
      </c>
      <c r="B2771" s="6">
        <f t="shared" ref="B2771:J2771" si="394">B$2754*$B919*B575*(1-B2721)/(24*$F$14)*100</f>
        <v>0</v>
      </c>
      <c r="C2771" s="6">
        <f t="shared" si="394"/>
        <v>0</v>
      </c>
      <c r="D2771" s="6">
        <f t="shared" si="394"/>
        <v>0</v>
      </c>
      <c r="E2771" s="6">
        <f t="shared" si="394"/>
        <v>0</v>
      </c>
      <c r="F2771" s="6">
        <f t="shared" si="394"/>
        <v>0</v>
      </c>
      <c r="G2771" s="6">
        <f t="shared" si="394"/>
        <v>0</v>
      </c>
      <c r="H2771" s="6">
        <f t="shared" si="394"/>
        <v>0</v>
      </c>
      <c r="I2771" s="6">
        <f t="shared" si="394"/>
        <v>0</v>
      </c>
      <c r="J2771" s="6">
        <f t="shared" si="394"/>
        <v>0</v>
      </c>
      <c r="K2771" s="6">
        <f t="shared" si="381"/>
        <v>0</v>
      </c>
      <c r="L2771" s="6">
        <f t="shared" si="382"/>
        <v>0</v>
      </c>
      <c r="M2771" s="6">
        <f t="shared" si="383"/>
        <v>0</v>
      </c>
      <c r="N2771" s="6">
        <f t="shared" si="384"/>
        <v>0</v>
      </c>
      <c r="O2771" s="6">
        <f t="shared" si="385"/>
        <v>0</v>
      </c>
      <c r="P2771" s="6">
        <f t="shared" si="386"/>
        <v>0</v>
      </c>
      <c r="Q2771" s="6">
        <f t="shared" si="387"/>
        <v>0</v>
      </c>
      <c r="R2771" s="6">
        <f t="shared" si="388"/>
        <v>0</v>
      </c>
      <c r="S2771" s="6">
        <f t="shared" si="389"/>
        <v>0</v>
      </c>
      <c r="T2771" s="10"/>
    </row>
    <row r="2772" spans="1:20">
      <c r="A2772" s="11" t="s">
        <v>96</v>
      </c>
      <c r="B2772" s="6">
        <f t="shared" ref="B2772:J2772" si="395">B$2754*$B920*B576*(1-B2722)/(24*$F$14)*100</f>
        <v>0</v>
      </c>
      <c r="C2772" s="6">
        <f t="shared" si="395"/>
        <v>0.33583921582780152</v>
      </c>
      <c r="D2772" s="6">
        <f t="shared" si="395"/>
        <v>2.9663221079139861E-2</v>
      </c>
      <c r="E2772" s="6">
        <f t="shared" si="395"/>
        <v>8.8021662170002166E-2</v>
      </c>
      <c r="F2772" s="6">
        <f t="shared" si="395"/>
        <v>1.914455830384194E-2</v>
      </c>
      <c r="G2772" s="6">
        <f t="shared" si="395"/>
        <v>6.1648358072623026E-3</v>
      </c>
      <c r="H2772" s="6">
        <f t="shared" si="395"/>
        <v>9.2348277189958541E-2</v>
      </c>
      <c r="I2772" s="6">
        <f t="shared" si="395"/>
        <v>7.1354098758080022E-3</v>
      </c>
      <c r="J2772" s="6">
        <f t="shared" si="395"/>
        <v>1.4695709161680266E-2</v>
      </c>
      <c r="K2772" s="6">
        <f t="shared" si="381"/>
        <v>0.11978955663441831</v>
      </c>
      <c r="L2772" s="6">
        <f t="shared" si="382"/>
        <v>0.17643972416345094</v>
      </c>
      <c r="M2772" s="6">
        <f t="shared" si="383"/>
        <v>1.5584155448023884E-2</v>
      </c>
      <c r="N2772" s="6">
        <f t="shared" si="384"/>
        <v>4.6243907982582898E-2</v>
      </c>
      <c r="O2772" s="6">
        <f t="shared" si="385"/>
        <v>4.0231877960231359E-2</v>
      </c>
      <c r="P2772" s="6">
        <f t="shared" si="386"/>
        <v>1.2955269999249237E-2</v>
      </c>
      <c r="Q2772" s="6">
        <f t="shared" si="387"/>
        <v>0.19406792043869886</v>
      </c>
      <c r="R2772" s="6">
        <f t="shared" si="388"/>
        <v>7.4974552758975715E-2</v>
      </c>
      <c r="S2772" s="6">
        <f t="shared" si="389"/>
        <v>0.15441358535107191</v>
      </c>
      <c r="T2772" s="10"/>
    </row>
    <row r="2773" spans="1:20">
      <c r="A2773" s="11" t="s">
        <v>97</v>
      </c>
      <c r="B2773" s="6">
        <f t="shared" ref="B2773:J2773" si="396">B$2754*$B921*B577*(1-B2723)/(24*$F$14)*100</f>
        <v>0</v>
      </c>
      <c r="C2773" s="6">
        <f t="shared" si="396"/>
        <v>0.32933910197306993</v>
      </c>
      <c r="D2773" s="6">
        <f t="shared" si="396"/>
        <v>2.9089094219543619E-2</v>
      </c>
      <c r="E2773" s="6">
        <f t="shared" si="396"/>
        <v>8.6318017095744048E-2</v>
      </c>
      <c r="F2773" s="6">
        <f t="shared" si="396"/>
        <v>1.8774018465703066E-2</v>
      </c>
      <c r="G2773" s="6">
        <f t="shared" si="396"/>
        <v>6.0455164045410984E-3</v>
      </c>
      <c r="H2773" s="6">
        <f t="shared" si="396"/>
        <v>9.0560891179830294E-2</v>
      </c>
      <c r="I2773" s="6">
        <f t="shared" si="396"/>
        <v>6.997305168534299E-3</v>
      </c>
      <c r="J2773" s="6">
        <f t="shared" si="396"/>
        <v>0</v>
      </c>
      <c r="K2773" s="6">
        <f t="shared" si="381"/>
        <v>0.1174710490866554</v>
      </c>
      <c r="L2773" s="6">
        <f t="shared" si="382"/>
        <v>0.17302476176028742</v>
      </c>
      <c r="M2773" s="6">
        <f t="shared" si="383"/>
        <v>1.5282526632900842E-2</v>
      </c>
      <c r="N2773" s="6">
        <f t="shared" si="384"/>
        <v>4.5348864602274844E-2</v>
      </c>
      <c r="O2773" s="6">
        <f t="shared" si="385"/>
        <v>3.9453196451323669E-2</v>
      </c>
      <c r="P2773" s="6">
        <f t="shared" si="386"/>
        <v>1.2704522837973445E-2</v>
      </c>
      <c r="Q2773" s="6">
        <f t="shared" si="387"/>
        <v>0.19031176713988529</v>
      </c>
      <c r="R2773" s="6">
        <f t="shared" si="388"/>
        <v>7.3523432382995552E-2</v>
      </c>
      <c r="S2773" s="6">
        <f t="shared" si="389"/>
        <v>0</v>
      </c>
      <c r="T2773" s="10"/>
    </row>
    <row r="2774" spans="1:20">
      <c r="A2774" s="11" t="s">
        <v>110</v>
      </c>
      <c r="B2774" s="6">
        <f t="shared" ref="B2774:J2774" si="397">B$2754*$B922*B578*(1-B2724)/(24*$F$14)*100</f>
        <v>0</v>
      </c>
      <c r="C2774" s="6">
        <f t="shared" si="397"/>
        <v>0.31311275511504238</v>
      </c>
      <c r="D2774" s="6">
        <f t="shared" si="397"/>
        <v>1.7699770490056669E-2</v>
      </c>
      <c r="E2774" s="6">
        <f t="shared" si="397"/>
        <v>5.2521714159287698E-2</v>
      </c>
      <c r="F2774" s="6">
        <f t="shared" si="397"/>
        <v>6.4256520407611701E-3</v>
      </c>
      <c r="G2774" s="6">
        <f t="shared" si="397"/>
        <v>2.0691566322500617E-3</v>
      </c>
      <c r="H2774" s="6">
        <f t="shared" si="397"/>
        <v>3.0995643063091809E-2</v>
      </c>
      <c r="I2774" s="6">
        <f t="shared" si="397"/>
        <v>0</v>
      </c>
      <c r="J2774" s="6">
        <f t="shared" si="397"/>
        <v>0</v>
      </c>
      <c r="K2774" s="6">
        <f t="shared" si="381"/>
        <v>0.11168331851704839</v>
      </c>
      <c r="L2774" s="6">
        <f t="shared" si="382"/>
        <v>0.16449993193434234</v>
      </c>
      <c r="M2774" s="6">
        <f t="shared" si="383"/>
        <v>1.4529565394691205E-2</v>
      </c>
      <c r="N2774" s="6">
        <f t="shared" si="384"/>
        <v>4.3114552301531377E-2</v>
      </c>
      <c r="O2774" s="6">
        <f t="shared" si="385"/>
        <v>3.7509360306627347E-2</v>
      </c>
      <c r="P2774" s="6">
        <f t="shared" si="386"/>
        <v>1.2078578354006442E-2</v>
      </c>
      <c r="Q2774" s="6">
        <f t="shared" si="387"/>
        <v>0.18093521656852787</v>
      </c>
      <c r="R2774" s="6">
        <f t="shared" si="388"/>
        <v>0</v>
      </c>
      <c r="S2774" s="6">
        <f t="shared" si="389"/>
        <v>0</v>
      </c>
      <c r="T2774" s="10"/>
    </row>
    <row r="2775" spans="1:20">
      <c r="A2775" s="11" t="s">
        <v>1647</v>
      </c>
      <c r="B2775" s="6">
        <f t="shared" ref="B2775:J2775" si="398">B$2754*$B923*B579*(1-B2725)/(24*$F$14)*100</f>
        <v>0</v>
      </c>
      <c r="C2775" s="6">
        <f t="shared" si="398"/>
        <v>0.4535864618959205</v>
      </c>
      <c r="D2775" s="6">
        <f t="shared" si="398"/>
        <v>4.0063324542248764E-2</v>
      </c>
      <c r="E2775" s="6">
        <f t="shared" si="398"/>
        <v>0.11888258557142617</v>
      </c>
      <c r="F2775" s="6">
        <f t="shared" si="398"/>
        <v>2.5856755424453842E-2</v>
      </c>
      <c r="G2775" s="6">
        <f t="shared" si="398"/>
        <v>8.3262642663480928E-3</v>
      </c>
      <c r="H2775" s="6">
        <f t="shared" si="398"/>
        <v>0.12472613780236635</v>
      </c>
      <c r="I2775" s="6">
        <f t="shared" si="398"/>
        <v>9.6371274324451132E-3</v>
      </c>
      <c r="J2775" s="6">
        <f t="shared" si="398"/>
        <v>1.9848113053943742E-2</v>
      </c>
      <c r="K2775" s="6">
        <f t="shared" si="381"/>
        <v>0.16178849462817507</v>
      </c>
      <c r="L2775" s="6">
        <f t="shared" si="382"/>
        <v>0.23830055112511594</v>
      </c>
      <c r="M2775" s="6">
        <f t="shared" si="383"/>
        <v>2.1048053944151743E-2</v>
      </c>
      <c r="N2775" s="6">
        <f t="shared" si="384"/>
        <v>6.2457299855104904E-2</v>
      </c>
      <c r="O2775" s="6">
        <f t="shared" si="385"/>
        <v>5.4337415999585421E-2</v>
      </c>
      <c r="P2775" s="6">
        <f t="shared" si="386"/>
        <v>1.7497465468353349E-2</v>
      </c>
      <c r="Q2775" s="6">
        <f t="shared" si="387"/>
        <v>0.26210929888671258</v>
      </c>
      <c r="R2775" s="6">
        <f t="shared" si="388"/>
        <v>0.10126108124195304</v>
      </c>
      <c r="S2775" s="6">
        <f t="shared" si="389"/>
        <v>0.20855191575950074</v>
      </c>
      <c r="T2775" s="10"/>
    </row>
    <row r="2776" spans="1:20">
      <c r="A2776" s="11" t="s">
        <v>1646</v>
      </c>
      <c r="B2776" s="6">
        <f t="shared" ref="B2776:J2776" si="399">B$2754*$B924*B580*(1-B2726)/(24*$F$14)*100</f>
        <v>0</v>
      </c>
      <c r="C2776" s="6">
        <f t="shared" si="399"/>
        <v>0.35076240038605405</v>
      </c>
      <c r="D2776" s="6">
        <f t="shared" si="399"/>
        <v>3.0981321235088372E-2</v>
      </c>
      <c r="E2776" s="6">
        <f t="shared" si="399"/>
        <v>9.1932949023293936E-2</v>
      </c>
      <c r="F2776" s="6">
        <f t="shared" si="399"/>
        <v>1.999525638610803E-2</v>
      </c>
      <c r="G2776" s="6">
        <f t="shared" si="399"/>
        <v>6.4387733886621798E-3</v>
      </c>
      <c r="H2776" s="6">
        <f t="shared" si="399"/>
        <v>9.6451819358926189E-2</v>
      </c>
      <c r="I2776" s="6">
        <f t="shared" si="399"/>
        <v>7.4524754043615773E-3</v>
      </c>
      <c r="J2776" s="6">
        <f t="shared" si="399"/>
        <v>1.5348720393538922E-2</v>
      </c>
      <c r="K2776" s="6">
        <f t="shared" si="381"/>
        <v>0.12511246586465921</v>
      </c>
      <c r="L2776" s="6">
        <f t="shared" si="382"/>
        <v>0.18427991209566794</v>
      </c>
      <c r="M2776" s="6">
        <f t="shared" si="383"/>
        <v>1.6276645237705271E-2</v>
      </c>
      <c r="N2776" s="6">
        <f t="shared" si="384"/>
        <v>4.8298779304914649E-2</v>
      </c>
      <c r="O2776" s="6">
        <f t="shared" si="385"/>
        <v>4.2019601703111545E-2</v>
      </c>
      <c r="P2776" s="6">
        <f t="shared" si="386"/>
        <v>1.353094394109145E-2</v>
      </c>
      <c r="Q2776" s="6">
        <f t="shared" si="387"/>
        <v>0.20269142614336894</v>
      </c>
      <c r="R2776" s="6">
        <f t="shared" si="388"/>
        <v>7.8306084739946991E-2</v>
      </c>
      <c r="S2776" s="6">
        <f t="shared" si="389"/>
        <v>0.16127503072104044</v>
      </c>
      <c r="T2776" s="10"/>
    </row>
    <row r="2777" spans="1:20">
      <c r="A2777" s="11" t="s">
        <v>98</v>
      </c>
      <c r="B2777" s="6">
        <f t="shared" ref="B2777:J2777" si="400">B$2754*$B925*B581*(1-B2727)/(24*$F$14)*100</f>
        <v>0</v>
      </c>
      <c r="C2777" s="6">
        <f t="shared" si="400"/>
        <v>0.30695270969509725</v>
      </c>
      <c r="D2777" s="6">
        <f t="shared" si="400"/>
        <v>2.7111801300760897E-2</v>
      </c>
      <c r="E2777" s="6">
        <f t="shared" si="400"/>
        <v>8.0450663417467261E-2</v>
      </c>
      <c r="F2777" s="6">
        <f t="shared" si="400"/>
        <v>1.7497879253902164E-2</v>
      </c>
      <c r="G2777" s="6">
        <f t="shared" si="400"/>
        <v>5.6345803785904282E-3</v>
      </c>
      <c r="H2777" s="6">
        <f t="shared" si="400"/>
        <v>8.4405133716326186E-2</v>
      </c>
      <c r="I2777" s="6">
        <f t="shared" si="400"/>
        <v>6.5216725532358487E-3</v>
      </c>
      <c r="J2777" s="6">
        <f t="shared" si="400"/>
        <v>1.3431688544621127E-2</v>
      </c>
      <c r="K2777" s="6">
        <f t="shared" si="381"/>
        <v>0.10948610903427777</v>
      </c>
      <c r="L2777" s="6">
        <f t="shared" si="382"/>
        <v>0.16126363115853676</v>
      </c>
      <c r="M2777" s="6">
        <f t="shared" si="383"/>
        <v>1.4243716986086849E-2</v>
      </c>
      <c r="N2777" s="6">
        <f t="shared" si="384"/>
        <v>4.2266335178148935E-2</v>
      </c>
      <c r="O2777" s="6">
        <f t="shared" si="385"/>
        <v>3.6771417315205564E-2</v>
      </c>
      <c r="P2777" s="6">
        <f t="shared" si="386"/>
        <v>1.1840949608279659E-2</v>
      </c>
      <c r="Q2777" s="6">
        <f t="shared" si="387"/>
        <v>0.17737557508499832</v>
      </c>
      <c r="R2777" s="6">
        <f t="shared" si="388"/>
        <v>6.8525773771892257E-2</v>
      </c>
      <c r="S2777" s="6">
        <f t="shared" si="389"/>
        <v>0.14113202450290804</v>
      </c>
      <c r="T2777" s="10"/>
    </row>
    <row r="2778" spans="1:20">
      <c r="A2778" s="11" t="s">
        <v>99</v>
      </c>
      <c r="B2778" s="6">
        <f t="shared" ref="B2778:J2778" si="401">B$2754*$B926*B582*(1-B2728)/(24*$F$14)*100</f>
        <v>0</v>
      </c>
      <c r="C2778" s="6">
        <f t="shared" si="401"/>
        <v>0.30101168950745028</v>
      </c>
      <c r="D2778" s="6">
        <f t="shared" si="401"/>
        <v>2.658705675945585E-2</v>
      </c>
      <c r="E2778" s="6">
        <f t="shared" si="401"/>
        <v>7.889355380293564E-2</v>
      </c>
      <c r="F2778" s="6">
        <f t="shared" si="401"/>
        <v>1.7159210623181483E-2</v>
      </c>
      <c r="G2778" s="6">
        <f t="shared" si="401"/>
        <v>5.5255239841660976E-3</v>
      </c>
      <c r="H2778" s="6">
        <f t="shared" si="401"/>
        <v>8.2771485966977934E-2</v>
      </c>
      <c r="I2778" s="6">
        <f t="shared" si="401"/>
        <v>6.395446632850639E-3</v>
      </c>
      <c r="J2778" s="6">
        <f t="shared" si="401"/>
        <v>0</v>
      </c>
      <c r="K2778" s="6">
        <f t="shared" si="381"/>
        <v>0.10736702305296918</v>
      </c>
      <c r="L2778" s="6">
        <f t="shared" si="382"/>
        <v>0.15814239958772638</v>
      </c>
      <c r="M2778" s="6">
        <f t="shared" si="383"/>
        <v>1.3968032141194846E-2</v>
      </c>
      <c r="N2778" s="6">
        <f t="shared" si="384"/>
        <v>4.1448277077926692E-2</v>
      </c>
      <c r="O2778" s="6">
        <f t="shared" si="385"/>
        <v>3.605971246394353E-2</v>
      </c>
      <c r="P2778" s="6">
        <f t="shared" si="386"/>
        <v>1.1611769938441988E-2</v>
      </c>
      <c r="Q2778" s="6">
        <f t="shared" si="387"/>
        <v>0.1739424994381919</v>
      </c>
      <c r="R2778" s="6">
        <f t="shared" si="388"/>
        <v>6.7199468473081461E-2</v>
      </c>
      <c r="S2778" s="6">
        <f t="shared" si="389"/>
        <v>0</v>
      </c>
      <c r="T2778" s="10"/>
    </row>
    <row r="2779" spans="1:20">
      <c r="A2779" s="11" t="s">
        <v>111</v>
      </c>
      <c r="B2779" s="6">
        <f t="shared" ref="B2779:J2779" si="402">B$2754*$B927*B583*(1-B2729)/(24*$F$14)*100</f>
        <v>0</v>
      </c>
      <c r="C2779" s="6">
        <f t="shared" si="402"/>
        <v>0.26174040652091979</v>
      </c>
      <c r="D2779" s="6">
        <f t="shared" si="402"/>
        <v>1.479577260176536E-2</v>
      </c>
      <c r="E2779" s="6">
        <f t="shared" si="402"/>
        <v>4.3904486772430057E-2</v>
      </c>
      <c r="F2779" s="6">
        <f t="shared" si="402"/>
        <v>5.3713965650900031E-3</v>
      </c>
      <c r="G2779" s="6">
        <f t="shared" si="402"/>
        <v>1.7296705076150702E-3</v>
      </c>
      <c r="H2779" s="6">
        <f t="shared" si="402"/>
        <v>2.5910193957860986E-2</v>
      </c>
      <c r="I2779" s="6">
        <f t="shared" si="402"/>
        <v>0</v>
      </c>
      <c r="J2779" s="6">
        <f t="shared" si="402"/>
        <v>0</v>
      </c>
      <c r="K2779" s="6">
        <f t="shared" si="381"/>
        <v>9.335945825495777E-2</v>
      </c>
      <c r="L2779" s="6">
        <f t="shared" si="382"/>
        <v>0.13751046022171423</v>
      </c>
      <c r="M2779" s="6">
        <f t="shared" si="383"/>
        <v>1.2145702437390302E-2</v>
      </c>
      <c r="N2779" s="6">
        <f t="shared" si="384"/>
        <v>3.6040756123857244E-2</v>
      </c>
      <c r="O2779" s="6">
        <f t="shared" si="385"/>
        <v>3.1355206885101544E-2</v>
      </c>
      <c r="P2779" s="6">
        <f t="shared" si="386"/>
        <v>1.0096848361897177E-2</v>
      </c>
      <c r="Q2779" s="6">
        <f t="shared" si="387"/>
        <v>0.15124921091508092</v>
      </c>
      <c r="R2779" s="6">
        <f t="shared" si="388"/>
        <v>0</v>
      </c>
      <c r="S2779" s="6">
        <f t="shared" si="389"/>
        <v>0</v>
      </c>
      <c r="T2779" s="10"/>
    </row>
    <row r="2780" spans="1:20">
      <c r="A2780" s="11" t="s">
        <v>131</v>
      </c>
      <c r="B2780" s="6">
        <f t="shared" ref="B2780:J2780" si="403">B$2754*$B928*B584*(1-B2730)/(24*$F$14)*100</f>
        <v>0</v>
      </c>
      <c r="C2780" s="6">
        <f t="shared" si="403"/>
        <v>0.23581411526422724</v>
      </c>
      <c r="D2780" s="6">
        <f t="shared" si="403"/>
        <v>2.0828437850602798E-2</v>
      </c>
      <c r="E2780" s="6">
        <f t="shared" si="403"/>
        <v>6.180561831513029E-2</v>
      </c>
      <c r="F2780" s="6">
        <f t="shared" si="403"/>
        <v>1.3442614399325242E-2</v>
      </c>
      <c r="G2780" s="6">
        <f t="shared" si="403"/>
        <v>4.3287240832058987E-3</v>
      </c>
      <c r="H2780" s="6">
        <f t="shared" si="403"/>
        <v>6.4843610440335431E-2</v>
      </c>
      <c r="I2780" s="6">
        <f t="shared" si="403"/>
        <v>5.0102259879443228E-3</v>
      </c>
      <c r="J2780" s="6">
        <f t="shared" si="403"/>
        <v>1.0318793907376533E-2</v>
      </c>
      <c r="K2780" s="6">
        <f t="shared" si="381"/>
        <v>8.4111881472839475E-2</v>
      </c>
      <c r="L2780" s="6">
        <f t="shared" si="382"/>
        <v>0.1238895742074448</v>
      </c>
      <c r="M2780" s="6">
        <f t="shared" si="383"/>
        <v>1.0942628662521183E-2</v>
      </c>
      <c r="N2780" s="6">
        <f t="shared" si="384"/>
        <v>3.2470794753357644E-2</v>
      </c>
      <c r="O2780" s="6">
        <f t="shared" si="385"/>
        <v>2.8249365349503491E-2</v>
      </c>
      <c r="P2780" s="6">
        <f t="shared" si="386"/>
        <v>9.0967206594735079E-3</v>
      </c>
      <c r="Q2780" s="6">
        <f t="shared" si="387"/>
        <v>0.13626745419416791</v>
      </c>
      <c r="R2780" s="6">
        <f t="shared" si="388"/>
        <v>5.2644411352050891E-2</v>
      </c>
      <c r="S2780" s="6">
        <f t="shared" si="389"/>
        <v>0.10842361850026069</v>
      </c>
      <c r="T2780" s="10"/>
    </row>
    <row r="2781" spans="1:20">
      <c r="A2781" s="11" t="s">
        <v>132</v>
      </c>
      <c r="B2781" s="6">
        <f t="shared" ref="B2781:J2781" si="404">B$2754*$B929*B585*(1-B2731)/(24*$F$14)*100</f>
        <v>0</v>
      </c>
      <c r="C2781" s="6">
        <f t="shared" si="404"/>
        <v>0.49539627523599522</v>
      </c>
      <c r="D2781" s="6">
        <f t="shared" si="404"/>
        <v>4.3756203985547949E-2</v>
      </c>
      <c r="E2781" s="6">
        <f t="shared" si="404"/>
        <v>0.12984071402030237</v>
      </c>
      <c r="F2781" s="6">
        <f t="shared" si="404"/>
        <v>2.8240129287416357E-2</v>
      </c>
      <c r="G2781" s="6">
        <f t="shared" si="404"/>
        <v>9.0937465085231851E-3</v>
      </c>
      <c r="H2781" s="6">
        <f t="shared" si="404"/>
        <v>0.13622290187761771</v>
      </c>
      <c r="I2781" s="6">
        <f t="shared" si="404"/>
        <v>1.052543987766421E-2</v>
      </c>
      <c r="J2781" s="6">
        <f t="shared" si="404"/>
        <v>2.1677633931770347E-2</v>
      </c>
      <c r="K2781" s="6">
        <f t="shared" si="381"/>
        <v>0.17670152076370338</v>
      </c>
      <c r="L2781" s="6">
        <f t="shared" si="382"/>
        <v>0.26026615724072399</v>
      </c>
      <c r="M2781" s="6">
        <f t="shared" si="383"/>
        <v>2.2988180646563629E-2</v>
      </c>
      <c r="N2781" s="6">
        <f t="shared" si="384"/>
        <v>6.8214367730878939E-2</v>
      </c>
      <c r="O2781" s="6">
        <f t="shared" si="385"/>
        <v>5.9346024966503742E-2</v>
      </c>
      <c r="P2781" s="6">
        <f t="shared" si="386"/>
        <v>1.9110312911150534E-2</v>
      </c>
      <c r="Q2781" s="6">
        <f t="shared" si="387"/>
        <v>0.28626950158620562</v>
      </c>
      <c r="R2781" s="6">
        <f t="shared" si="388"/>
        <v>0.11059492883441421</v>
      </c>
      <c r="S2781" s="6">
        <f t="shared" si="389"/>
        <v>0.22777540984963185</v>
      </c>
      <c r="T2781" s="10"/>
    </row>
    <row r="2782" spans="1:20">
      <c r="A2782" s="11" t="s">
        <v>133</v>
      </c>
      <c r="B2782" s="6">
        <f t="shared" ref="B2782:J2782" si="405">B$2754*$B930*B586*(1-B2732)/(24*$F$14)*100</f>
        <v>0</v>
      </c>
      <c r="C2782" s="6">
        <f t="shared" si="405"/>
        <v>0.72156559511991636</v>
      </c>
      <c r="D2782" s="6">
        <f t="shared" si="405"/>
        <v>6.3732758898882996E-2</v>
      </c>
      <c r="E2782" s="6">
        <f t="shared" si="405"/>
        <v>0.18911848305323511</v>
      </c>
      <c r="F2782" s="6">
        <f t="shared" si="405"/>
        <v>4.1132940868057161E-2</v>
      </c>
      <c r="G2782" s="6">
        <f t="shared" si="405"/>
        <v>1.3245425812227467E-2</v>
      </c>
      <c r="H2782" s="6">
        <f t="shared" si="405"/>
        <v>0.19841440918275041</v>
      </c>
      <c r="I2782" s="6">
        <f t="shared" si="405"/>
        <v>1.533074766379237E-2</v>
      </c>
      <c r="J2782" s="6">
        <f t="shared" si="405"/>
        <v>3.157438925296352E-2</v>
      </c>
      <c r="K2782" s="6">
        <f t="shared" si="381"/>
        <v>0.25737322697413717</v>
      </c>
      <c r="L2782" s="6">
        <f t="shared" si="382"/>
        <v>0.37908864887914956</v>
      </c>
      <c r="M2782" s="6">
        <f t="shared" si="383"/>
        <v>3.3483255886532337E-2</v>
      </c>
      <c r="N2782" s="6">
        <f t="shared" si="384"/>
        <v>9.9357107245129556E-2</v>
      </c>
      <c r="O2782" s="6">
        <f t="shared" si="385"/>
        <v>8.6439991504896271E-2</v>
      </c>
      <c r="P2782" s="6">
        <f t="shared" si="386"/>
        <v>2.7834977770257219E-2</v>
      </c>
      <c r="Q2782" s="6">
        <f t="shared" si="387"/>
        <v>0.41696361802141302</v>
      </c>
      <c r="R2782" s="6">
        <f t="shared" si="388"/>
        <v>0.16108618419392295</v>
      </c>
      <c r="S2782" s="6">
        <f t="shared" si="389"/>
        <v>0.33176450324245499</v>
      </c>
      <c r="T2782" s="10"/>
    </row>
    <row r="2783" spans="1:20">
      <c r="A2783" s="11" t="s">
        <v>134</v>
      </c>
      <c r="B2783" s="6">
        <f t="shared" ref="B2783:J2783" si="406">B$2754*$B931*B587*(1-B2733)/(24*$F$14)*100</f>
        <v>0</v>
      </c>
      <c r="C2783" s="6">
        <f t="shared" si="406"/>
        <v>0</v>
      </c>
      <c r="D2783" s="6">
        <f t="shared" si="406"/>
        <v>0</v>
      </c>
      <c r="E2783" s="6">
        <f t="shared" si="406"/>
        <v>0</v>
      </c>
      <c r="F2783" s="6">
        <f t="shared" si="406"/>
        <v>0</v>
      </c>
      <c r="G2783" s="6">
        <f t="shared" si="406"/>
        <v>0</v>
      </c>
      <c r="H2783" s="6">
        <f t="shared" si="406"/>
        <v>0</v>
      </c>
      <c r="I2783" s="6">
        <f t="shared" si="406"/>
        <v>0</v>
      </c>
      <c r="J2783" s="6">
        <f t="shared" si="406"/>
        <v>0</v>
      </c>
      <c r="K2783" s="6">
        <f t="shared" si="381"/>
        <v>0</v>
      </c>
      <c r="L2783" s="6">
        <f t="shared" si="382"/>
        <v>0</v>
      </c>
      <c r="M2783" s="6">
        <f t="shared" si="383"/>
        <v>0</v>
      </c>
      <c r="N2783" s="6">
        <f t="shared" si="384"/>
        <v>0</v>
      </c>
      <c r="O2783" s="6">
        <f t="shared" si="385"/>
        <v>0</v>
      </c>
      <c r="P2783" s="6">
        <f t="shared" si="386"/>
        <v>0</v>
      </c>
      <c r="Q2783" s="6">
        <f t="shared" si="387"/>
        <v>0</v>
      </c>
      <c r="R2783" s="6">
        <f t="shared" si="388"/>
        <v>0</v>
      </c>
      <c r="S2783" s="6">
        <f t="shared" si="389"/>
        <v>0</v>
      </c>
      <c r="T2783" s="10"/>
    </row>
    <row r="2784" spans="1:20">
      <c r="A2784" s="11" t="s">
        <v>135</v>
      </c>
      <c r="B2784" s="6">
        <f t="shared" ref="B2784:J2784" si="407">B$2754*$B932*B588*(1-B2734)/(24*$F$14)*100</f>
        <v>0</v>
      </c>
      <c r="C2784" s="6">
        <f t="shared" si="407"/>
        <v>0.48673838793587587</v>
      </c>
      <c r="D2784" s="6">
        <f t="shared" si="407"/>
        <v>4.2991490357841645E-2</v>
      </c>
      <c r="E2784" s="6">
        <f t="shared" si="407"/>
        <v>0.12757152806726049</v>
      </c>
      <c r="F2784" s="6">
        <f t="shared" si="407"/>
        <v>2.7746585292571468E-2</v>
      </c>
      <c r="G2784" s="6">
        <f t="shared" si="407"/>
        <v>8.9348179167223259E-3</v>
      </c>
      <c r="H2784" s="6">
        <f t="shared" si="407"/>
        <v>0.13384217640367305</v>
      </c>
      <c r="I2784" s="6">
        <f t="shared" si="407"/>
        <v>1.0341490024182595E-2</v>
      </c>
      <c r="J2784" s="6">
        <f t="shared" si="407"/>
        <v>2.1298780636143322E-2</v>
      </c>
      <c r="K2784" s="6">
        <f t="shared" si="381"/>
        <v>0.17361336300191349</v>
      </c>
      <c r="L2784" s="6">
        <f t="shared" si="382"/>
        <v>0.2557175662034743</v>
      </c>
      <c r="M2784" s="6">
        <f t="shared" si="383"/>
        <v>2.2586423331820159E-2</v>
      </c>
      <c r="N2784" s="6">
        <f t="shared" si="384"/>
        <v>6.7022206349000371E-2</v>
      </c>
      <c r="O2784" s="6">
        <f t="shared" si="385"/>
        <v>5.8308852864987049E-2</v>
      </c>
      <c r="P2784" s="6">
        <f t="shared" si="386"/>
        <v>1.8776327890015813E-2</v>
      </c>
      <c r="Q2784" s="6">
        <f t="shared" si="387"/>
        <v>0.28126645815190854</v>
      </c>
      <c r="R2784" s="6">
        <f t="shared" si="388"/>
        <v>0.10866209550950288</v>
      </c>
      <c r="S2784" s="6">
        <f t="shared" si="389"/>
        <v>0.22379464954359776</v>
      </c>
      <c r="T2784" s="10"/>
    </row>
    <row r="2785" spans="1:20">
      <c r="A2785" s="11" t="s">
        <v>1645</v>
      </c>
      <c r="B2785" s="6">
        <f t="shared" ref="B2785:J2785" si="408">B$2754*$B933*B589*(1-B2735)/(24*$F$14)*100</f>
        <v>0</v>
      </c>
      <c r="C2785" s="6">
        <f t="shared" si="408"/>
        <v>-0.23581411526422724</v>
      </c>
      <c r="D2785" s="6">
        <f t="shared" si="408"/>
        <v>-2.0828437850602798E-2</v>
      </c>
      <c r="E2785" s="6">
        <f t="shared" si="408"/>
        <v>-6.180561831513029E-2</v>
      </c>
      <c r="F2785" s="6">
        <f t="shared" si="408"/>
        <v>-1.3442614399325242E-2</v>
      </c>
      <c r="G2785" s="6">
        <f t="shared" si="408"/>
        <v>-4.3287240832058987E-3</v>
      </c>
      <c r="H2785" s="6">
        <f t="shared" si="408"/>
        <v>-6.4843610440335431E-2</v>
      </c>
      <c r="I2785" s="6">
        <f t="shared" si="408"/>
        <v>-5.0102259879443228E-3</v>
      </c>
      <c r="J2785" s="6">
        <f t="shared" si="408"/>
        <v>0</v>
      </c>
      <c r="K2785" s="6">
        <f t="shared" si="381"/>
        <v>-8.4111881472839475E-2</v>
      </c>
      <c r="L2785" s="6">
        <f t="shared" si="382"/>
        <v>-0.1238895742074448</v>
      </c>
      <c r="M2785" s="6">
        <f t="shared" si="383"/>
        <v>-1.0942628662521183E-2</v>
      </c>
      <c r="N2785" s="6">
        <f t="shared" si="384"/>
        <v>-3.2470794753357644E-2</v>
      </c>
      <c r="O2785" s="6">
        <f t="shared" si="385"/>
        <v>-2.8249365349503491E-2</v>
      </c>
      <c r="P2785" s="6">
        <f t="shared" si="386"/>
        <v>-9.0967206594735079E-3</v>
      </c>
      <c r="Q2785" s="6">
        <f t="shared" si="387"/>
        <v>-0.13626745419416791</v>
      </c>
      <c r="R2785" s="6">
        <f t="shared" si="388"/>
        <v>-5.2644411352050891E-2</v>
      </c>
      <c r="S2785" s="6">
        <f t="shared" si="389"/>
        <v>0</v>
      </c>
      <c r="T2785" s="10"/>
    </row>
    <row r="2786" spans="1:20">
      <c r="A2786" s="11" t="s">
        <v>100</v>
      </c>
      <c r="B2786" s="6">
        <f t="shared" ref="B2786:J2786" si="409">B$2754*$B934*B590*(1-B2736)/(24*$F$14)*100</f>
        <v>0</v>
      </c>
      <c r="C2786" s="6">
        <f t="shared" si="409"/>
        <v>-0.23124997109782289</v>
      </c>
      <c r="D2786" s="6">
        <f t="shared" si="409"/>
        <v>-2.0425306795429844E-2</v>
      </c>
      <c r="E2786" s="6">
        <f t="shared" si="409"/>
        <v>-6.0609380541289053E-2</v>
      </c>
      <c r="F2786" s="6">
        <f t="shared" si="409"/>
        <v>-1.3182434765789919E-2</v>
      </c>
      <c r="G2786" s="6">
        <f t="shared" si="409"/>
        <v>-4.2449423267567525E-3</v>
      </c>
      <c r="H2786" s="6">
        <f t="shared" si="409"/>
        <v>-6.3588572818909575E-2</v>
      </c>
      <c r="I2786" s="6">
        <f t="shared" si="409"/>
        <v>0</v>
      </c>
      <c r="J2786" s="6">
        <f t="shared" si="409"/>
        <v>0</v>
      </c>
      <c r="K2786" s="6">
        <f t="shared" si="381"/>
        <v>-8.2483909573365169E-2</v>
      </c>
      <c r="L2786" s="6">
        <f t="shared" si="382"/>
        <v>-0.12149171148084911</v>
      </c>
      <c r="M2786" s="6">
        <f t="shared" si="383"/>
        <v>-1.0730835849698195E-2</v>
      </c>
      <c r="N2786" s="6">
        <f t="shared" si="384"/>
        <v>-3.184232775813136E-2</v>
      </c>
      <c r="O2786" s="6">
        <f t="shared" si="385"/>
        <v>-2.7702603439513116E-2</v>
      </c>
      <c r="P2786" s="6">
        <f t="shared" si="386"/>
        <v>-8.9206550983224088E-3</v>
      </c>
      <c r="Q2786" s="6">
        <f t="shared" si="387"/>
        <v>-0.13363001959686144</v>
      </c>
      <c r="R2786" s="6">
        <f t="shared" si="388"/>
        <v>0</v>
      </c>
      <c r="S2786" s="6">
        <f t="shared" si="389"/>
        <v>0</v>
      </c>
      <c r="T2786" s="10"/>
    </row>
    <row r="2787" spans="1:20">
      <c r="A2787" s="11" t="s">
        <v>101</v>
      </c>
      <c r="B2787" s="6">
        <f t="shared" ref="B2787:J2787" si="410">B$2754*$B935*B591*(1-B2737)/(24*$F$14)*100</f>
        <v>0</v>
      </c>
      <c r="C2787" s="6">
        <f t="shared" si="410"/>
        <v>-0.23581411526422724</v>
      </c>
      <c r="D2787" s="6">
        <f t="shared" si="410"/>
        <v>-2.0828437850602798E-2</v>
      </c>
      <c r="E2787" s="6">
        <f t="shared" si="410"/>
        <v>-6.180561831513029E-2</v>
      </c>
      <c r="F2787" s="6">
        <f t="shared" si="410"/>
        <v>-1.3442614399325242E-2</v>
      </c>
      <c r="G2787" s="6">
        <f t="shared" si="410"/>
        <v>-4.3287240832058987E-3</v>
      </c>
      <c r="H2787" s="6">
        <f t="shared" si="410"/>
        <v>-6.4843610440335431E-2</v>
      </c>
      <c r="I2787" s="6">
        <f t="shared" si="410"/>
        <v>-5.0102259879443228E-3</v>
      </c>
      <c r="J2787" s="6">
        <f t="shared" si="410"/>
        <v>0</v>
      </c>
      <c r="K2787" s="6">
        <f t="shared" si="381"/>
        <v>-8.4111881472839475E-2</v>
      </c>
      <c r="L2787" s="6">
        <f t="shared" si="382"/>
        <v>-0.1238895742074448</v>
      </c>
      <c r="M2787" s="6">
        <f t="shared" si="383"/>
        <v>-1.0942628662521183E-2</v>
      </c>
      <c r="N2787" s="6">
        <f t="shared" si="384"/>
        <v>-3.2470794753357644E-2</v>
      </c>
      <c r="O2787" s="6">
        <f t="shared" si="385"/>
        <v>-2.8249365349503491E-2</v>
      </c>
      <c r="P2787" s="6">
        <f t="shared" si="386"/>
        <v>-9.0967206594735079E-3</v>
      </c>
      <c r="Q2787" s="6">
        <f t="shared" si="387"/>
        <v>-0.13626745419416791</v>
      </c>
      <c r="R2787" s="6">
        <f t="shared" si="388"/>
        <v>-5.2644411352050891E-2</v>
      </c>
      <c r="S2787" s="6">
        <f t="shared" si="389"/>
        <v>0</v>
      </c>
      <c r="T2787" s="10"/>
    </row>
    <row r="2788" spans="1:20">
      <c r="A2788" s="11" t="s">
        <v>102</v>
      </c>
      <c r="B2788" s="6">
        <f t="shared" ref="B2788:J2788" si="411">B$2754*$B936*B592*(1-B2738)/(24*$F$14)*100</f>
        <v>0</v>
      </c>
      <c r="C2788" s="6">
        <f t="shared" si="411"/>
        <v>-0.23581411526422724</v>
      </c>
      <c r="D2788" s="6">
        <f t="shared" si="411"/>
        <v>-2.0828437850602798E-2</v>
      </c>
      <c r="E2788" s="6">
        <f t="shared" si="411"/>
        <v>-6.180561831513029E-2</v>
      </c>
      <c r="F2788" s="6">
        <f t="shared" si="411"/>
        <v>-1.3442614399325242E-2</v>
      </c>
      <c r="G2788" s="6">
        <f t="shared" si="411"/>
        <v>-4.3287240832058987E-3</v>
      </c>
      <c r="H2788" s="6">
        <f t="shared" si="411"/>
        <v>-6.4843610440335431E-2</v>
      </c>
      <c r="I2788" s="6">
        <f t="shared" si="411"/>
        <v>-5.0102259879443228E-3</v>
      </c>
      <c r="J2788" s="6">
        <f t="shared" si="411"/>
        <v>0</v>
      </c>
      <c r="K2788" s="6">
        <f t="shared" si="381"/>
        <v>-8.4111881472839475E-2</v>
      </c>
      <c r="L2788" s="6">
        <f t="shared" si="382"/>
        <v>-0.1238895742074448</v>
      </c>
      <c r="M2788" s="6">
        <f t="shared" si="383"/>
        <v>-1.0942628662521183E-2</v>
      </c>
      <c r="N2788" s="6">
        <f t="shared" si="384"/>
        <v>-3.2470794753357644E-2</v>
      </c>
      <c r="O2788" s="6">
        <f t="shared" si="385"/>
        <v>-2.8249365349503491E-2</v>
      </c>
      <c r="P2788" s="6">
        <f t="shared" si="386"/>
        <v>-9.0967206594735079E-3</v>
      </c>
      <c r="Q2788" s="6">
        <f t="shared" si="387"/>
        <v>-0.13626745419416791</v>
      </c>
      <c r="R2788" s="6">
        <f t="shared" si="388"/>
        <v>-5.2644411352050891E-2</v>
      </c>
      <c r="S2788" s="6">
        <f t="shared" si="389"/>
        <v>0</v>
      </c>
      <c r="T2788" s="10"/>
    </row>
    <row r="2789" spans="1:20">
      <c r="A2789" s="11" t="s">
        <v>103</v>
      </c>
      <c r="B2789" s="6">
        <f t="shared" ref="B2789:J2789" si="412">B$2754*$B937*B593*(1-B2739)/(24*$F$14)*100</f>
        <v>0</v>
      </c>
      <c r="C2789" s="6">
        <f t="shared" si="412"/>
        <v>-0.23124997109782289</v>
      </c>
      <c r="D2789" s="6">
        <f t="shared" si="412"/>
        <v>-2.0425306795429844E-2</v>
      </c>
      <c r="E2789" s="6">
        <f t="shared" si="412"/>
        <v>-6.0609380541289053E-2</v>
      </c>
      <c r="F2789" s="6">
        <f t="shared" si="412"/>
        <v>-1.3182434765789919E-2</v>
      </c>
      <c r="G2789" s="6">
        <f t="shared" si="412"/>
        <v>-4.2449423267567525E-3</v>
      </c>
      <c r="H2789" s="6">
        <f t="shared" si="412"/>
        <v>-6.3588572818909575E-2</v>
      </c>
      <c r="I2789" s="6">
        <f t="shared" si="412"/>
        <v>0</v>
      </c>
      <c r="J2789" s="6">
        <f t="shared" si="412"/>
        <v>0</v>
      </c>
      <c r="K2789" s="6">
        <f t="shared" si="381"/>
        <v>-8.2483909573365169E-2</v>
      </c>
      <c r="L2789" s="6">
        <f t="shared" si="382"/>
        <v>-0.12149171148084911</v>
      </c>
      <c r="M2789" s="6">
        <f t="shared" si="383"/>
        <v>-1.0730835849698195E-2</v>
      </c>
      <c r="N2789" s="6">
        <f t="shared" si="384"/>
        <v>-3.184232775813136E-2</v>
      </c>
      <c r="O2789" s="6">
        <f t="shared" si="385"/>
        <v>-2.7702603439513116E-2</v>
      </c>
      <c r="P2789" s="6">
        <f t="shared" si="386"/>
        <v>-8.9206550983224088E-3</v>
      </c>
      <c r="Q2789" s="6">
        <f t="shared" si="387"/>
        <v>-0.13363001959686144</v>
      </c>
      <c r="R2789" s="6">
        <f t="shared" si="388"/>
        <v>0</v>
      </c>
      <c r="S2789" s="6">
        <f t="shared" si="389"/>
        <v>0</v>
      </c>
      <c r="T2789" s="10"/>
    </row>
    <row r="2790" spans="1:20">
      <c r="A2790" s="11" t="s">
        <v>104</v>
      </c>
      <c r="B2790" s="6">
        <f t="shared" ref="B2790:J2790" si="413">B$2754*$B938*B594*(1-B2740)/(24*$F$14)*100</f>
        <v>0</v>
      </c>
      <c r="C2790" s="6">
        <f t="shared" si="413"/>
        <v>-0.23124997109782289</v>
      </c>
      <c r="D2790" s="6">
        <f t="shared" si="413"/>
        <v>-2.0425306795429844E-2</v>
      </c>
      <c r="E2790" s="6">
        <f t="shared" si="413"/>
        <v>-6.0609380541289053E-2</v>
      </c>
      <c r="F2790" s="6">
        <f t="shared" si="413"/>
        <v>-1.3182434765789919E-2</v>
      </c>
      <c r="G2790" s="6">
        <f t="shared" si="413"/>
        <v>-4.2449423267567525E-3</v>
      </c>
      <c r="H2790" s="6">
        <f t="shared" si="413"/>
        <v>-6.3588572818909575E-2</v>
      </c>
      <c r="I2790" s="6">
        <f t="shared" si="413"/>
        <v>0</v>
      </c>
      <c r="J2790" s="6">
        <f t="shared" si="413"/>
        <v>0</v>
      </c>
      <c r="K2790" s="6">
        <f t="shared" si="381"/>
        <v>-8.2483909573365169E-2</v>
      </c>
      <c r="L2790" s="6">
        <f t="shared" si="382"/>
        <v>-0.12149171148084911</v>
      </c>
      <c r="M2790" s="6">
        <f t="shared" si="383"/>
        <v>-1.0730835849698195E-2</v>
      </c>
      <c r="N2790" s="6">
        <f t="shared" si="384"/>
        <v>-3.184232775813136E-2</v>
      </c>
      <c r="O2790" s="6">
        <f t="shared" si="385"/>
        <v>-2.7702603439513116E-2</v>
      </c>
      <c r="P2790" s="6">
        <f t="shared" si="386"/>
        <v>-8.9206550983224088E-3</v>
      </c>
      <c r="Q2790" s="6">
        <f t="shared" si="387"/>
        <v>-0.13363001959686144</v>
      </c>
      <c r="R2790" s="6">
        <f t="shared" si="388"/>
        <v>0</v>
      </c>
      <c r="S2790" s="6">
        <f t="shared" si="389"/>
        <v>0</v>
      </c>
      <c r="T2790" s="10"/>
    </row>
    <row r="2791" spans="1:20">
      <c r="A2791" s="11" t="s">
        <v>112</v>
      </c>
      <c r="B2791" s="6">
        <f t="shared" ref="B2791:J2791" si="414">B$2754*$B939*B595*(1-B2741)/(24*$F$14)*100</f>
        <v>0</v>
      </c>
      <c r="C2791" s="6">
        <f t="shared" si="414"/>
        <v>-0.22688143310997869</v>
      </c>
      <c r="D2791" s="6">
        <f t="shared" si="414"/>
        <v>-1.2825249782706293E-2</v>
      </c>
      <c r="E2791" s="6">
        <f t="shared" si="414"/>
        <v>-3.8057222464391964E-2</v>
      </c>
      <c r="F2791" s="6">
        <f t="shared" si="414"/>
        <v>-4.6560260476719104E-3</v>
      </c>
      <c r="G2791" s="6">
        <f t="shared" si="414"/>
        <v>-1.4993104381245247E-3</v>
      </c>
      <c r="H2791" s="6">
        <f t="shared" si="414"/>
        <v>0</v>
      </c>
      <c r="I2791" s="6">
        <f t="shared" si="414"/>
        <v>0</v>
      </c>
      <c r="J2791" s="6">
        <f t="shared" si="414"/>
        <v>0</v>
      </c>
      <c r="K2791" s="6">
        <f t="shared" si="381"/>
        <v>-8.0925707898154051E-2</v>
      </c>
      <c r="L2791" s="6">
        <f t="shared" si="382"/>
        <v>-0.11919661429967894</v>
      </c>
      <c r="M2791" s="6">
        <f t="shared" si="383"/>
        <v>-1.0528119871710474E-2</v>
      </c>
      <c r="N2791" s="6">
        <f t="shared" si="384"/>
        <v>-3.1240795062700496E-2</v>
      </c>
      <c r="O2791" s="6">
        <f t="shared" si="385"/>
        <v>-2.7179274182808022E-2</v>
      </c>
      <c r="P2791" s="6">
        <f t="shared" si="386"/>
        <v>-8.7521352040777836E-3</v>
      </c>
      <c r="Q2791" s="6">
        <f t="shared" si="387"/>
        <v>0</v>
      </c>
      <c r="R2791" s="6">
        <f t="shared" si="388"/>
        <v>0</v>
      </c>
      <c r="S2791" s="6">
        <f t="shared" si="389"/>
        <v>0</v>
      </c>
      <c r="T2791" s="10"/>
    </row>
    <row r="2792" spans="1:20">
      <c r="A2792" s="11" t="s">
        <v>113</v>
      </c>
      <c r="B2792" s="6">
        <f t="shared" ref="B2792:J2792" si="415">B$2754*$B940*B596*(1-B2742)/(24*$F$14)*100</f>
        <v>0</v>
      </c>
      <c r="C2792" s="6">
        <f t="shared" si="415"/>
        <v>-0.22688143310997869</v>
      </c>
      <c r="D2792" s="6">
        <f t="shared" si="415"/>
        <v>-1.2825249782706293E-2</v>
      </c>
      <c r="E2792" s="6">
        <f t="shared" si="415"/>
        <v>-3.8057222464391964E-2</v>
      </c>
      <c r="F2792" s="6">
        <f t="shared" si="415"/>
        <v>-4.6560260476719104E-3</v>
      </c>
      <c r="G2792" s="6">
        <f t="shared" si="415"/>
        <v>-1.4993104381245247E-3</v>
      </c>
      <c r="H2792" s="6">
        <f t="shared" si="415"/>
        <v>0</v>
      </c>
      <c r="I2792" s="6">
        <f t="shared" si="415"/>
        <v>0</v>
      </c>
      <c r="J2792" s="6">
        <f t="shared" si="415"/>
        <v>0</v>
      </c>
      <c r="K2792" s="6">
        <f t="shared" si="381"/>
        <v>-8.0925707898154051E-2</v>
      </c>
      <c r="L2792" s="6">
        <f t="shared" si="382"/>
        <v>-0.11919661429967894</v>
      </c>
      <c r="M2792" s="6">
        <f t="shared" si="383"/>
        <v>-1.0528119871710474E-2</v>
      </c>
      <c r="N2792" s="6">
        <f t="shared" si="384"/>
        <v>-3.1240795062700496E-2</v>
      </c>
      <c r="O2792" s="6">
        <f t="shared" si="385"/>
        <v>-2.7179274182808022E-2</v>
      </c>
      <c r="P2792" s="6">
        <f t="shared" si="386"/>
        <v>-8.7521352040777836E-3</v>
      </c>
      <c r="Q2792" s="6">
        <f t="shared" si="387"/>
        <v>0</v>
      </c>
      <c r="R2792" s="6">
        <f t="shared" si="388"/>
        <v>0</v>
      </c>
      <c r="S2792" s="6">
        <f t="shared" si="389"/>
        <v>0</v>
      </c>
      <c r="T2792" s="10"/>
    </row>
    <row r="2794" spans="1:20" ht="21" customHeight="1">
      <c r="A2794" s="1" t="s">
        <v>1620</v>
      </c>
    </row>
    <row r="2795" spans="1:20">
      <c r="A2795" s="2" t="s">
        <v>255</v>
      </c>
    </row>
    <row r="2796" spans="1:20">
      <c r="A2796" s="12" t="s">
        <v>1699</v>
      </c>
    </row>
    <row r="2797" spans="1:20">
      <c r="A2797" s="12" t="s">
        <v>723</v>
      </c>
    </row>
    <row r="2798" spans="1:20">
      <c r="A2798" s="12" t="s">
        <v>546</v>
      </c>
    </row>
    <row r="2799" spans="1:20">
      <c r="A2799" s="12" t="s">
        <v>721</v>
      </c>
    </row>
    <row r="2800" spans="1:20">
      <c r="A2800" s="12" t="s">
        <v>525</v>
      </c>
    </row>
    <row r="2801" spans="1:20">
      <c r="A2801" s="2" t="s">
        <v>1617</v>
      </c>
    </row>
    <row r="2803" spans="1:20" ht="30">
      <c r="B2803" s="3" t="s">
        <v>60</v>
      </c>
      <c r="C2803" s="3" t="s">
        <v>220</v>
      </c>
      <c r="D2803" s="3" t="s">
        <v>221</v>
      </c>
      <c r="E2803" s="3" t="s">
        <v>222</v>
      </c>
      <c r="F2803" s="3" t="s">
        <v>223</v>
      </c>
      <c r="G2803" s="3" t="s">
        <v>224</v>
      </c>
      <c r="H2803" s="3" t="s">
        <v>225</v>
      </c>
      <c r="I2803" s="3" t="s">
        <v>226</v>
      </c>
      <c r="J2803" s="3" t="s">
        <v>227</v>
      </c>
      <c r="K2803" s="3" t="s">
        <v>208</v>
      </c>
      <c r="L2803" s="3" t="s">
        <v>624</v>
      </c>
      <c r="M2803" s="3" t="s">
        <v>625</v>
      </c>
      <c r="N2803" s="3" t="s">
        <v>626</v>
      </c>
      <c r="O2803" s="3" t="s">
        <v>627</v>
      </c>
      <c r="P2803" s="3" t="s">
        <v>628</v>
      </c>
      <c r="Q2803" s="3" t="s">
        <v>629</v>
      </c>
      <c r="R2803" s="3" t="s">
        <v>630</v>
      </c>
      <c r="S2803" s="3" t="s">
        <v>631</v>
      </c>
    </row>
    <row r="2804" spans="1:20">
      <c r="A2804" s="11" t="s">
        <v>92</v>
      </c>
      <c r="B2804" s="6">
        <f t="shared" ref="B2804:J2804" si="416">B2039*B$2754*B$570*(1-B$2716)*100/(24*$F$14)</f>
        <v>0</v>
      </c>
      <c r="C2804" s="6">
        <f t="shared" si="416"/>
        <v>0.4595832198527755</v>
      </c>
      <c r="D2804" s="6">
        <f t="shared" si="416"/>
        <v>4.0592992158920101E-2</v>
      </c>
      <c r="E2804" s="6">
        <f t="shared" si="416"/>
        <v>0.12045430375714339</v>
      </c>
      <c r="F2804" s="6">
        <f t="shared" si="416"/>
        <v>2.6198601393978449E-2</v>
      </c>
      <c r="G2804" s="6">
        <f t="shared" si="416"/>
        <v>8.4363438116709395E-3</v>
      </c>
      <c r="H2804" s="6">
        <f t="shared" si="416"/>
        <v>0.12637511219231581</v>
      </c>
      <c r="I2804" s="6">
        <f t="shared" si="416"/>
        <v>9.7645375856718671E-3</v>
      </c>
      <c r="J2804" s="6">
        <f t="shared" si="416"/>
        <v>2.0110520202047965E-2</v>
      </c>
      <c r="K2804" s="6">
        <f t="shared" ref="K2804:S2804" si="417">B2039*K$2754*B$570*(1-K$2716)*100/(24*$F$14)</f>
        <v>0.16392746155949353</v>
      </c>
      <c r="L2804" s="6">
        <f t="shared" si="417"/>
        <v>0.24145106562704655</v>
      </c>
      <c r="M2804" s="6">
        <f t="shared" si="417"/>
        <v>2.1326325223321597E-2</v>
      </c>
      <c r="N2804" s="6">
        <f t="shared" si="417"/>
        <v>6.3283032854948545E-2</v>
      </c>
      <c r="O2804" s="6">
        <f t="shared" si="417"/>
        <v>5.50557979600797E-2</v>
      </c>
      <c r="P2804" s="6">
        <f t="shared" si="417"/>
        <v>1.7728795267822148E-2</v>
      </c>
      <c r="Q2804" s="6">
        <f t="shared" si="417"/>
        <v>0.26557458313945392</v>
      </c>
      <c r="R2804" s="6">
        <f t="shared" si="417"/>
        <v>0.10259982974013192</v>
      </c>
      <c r="S2804" s="6">
        <f t="shared" si="417"/>
        <v>0.21130913067949789</v>
      </c>
      <c r="T2804" s="10"/>
    </row>
    <row r="2805" spans="1:20">
      <c r="A2805" s="11" t="s">
        <v>93</v>
      </c>
      <c r="B2805" s="6">
        <f t="shared" ref="B2805:J2805" si="418">B2040*B$2754*B$571*(1-B$2717)*100/(24*$F$14)</f>
        <v>0</v>
      </c>
      <c r="C2805" s="6">
        <f t="shared" si="418"/>
        <v>0.49003584765678648</v>
      </c>
      <c r="D2805" s="6">
        <f t="shared" si="418"/>
        <v>4.3282740670762467E-2</v>
      </c>
      <c r="E2805" s="6">
        <f t="shared" si="418"/>
        <v>0.12789094733505676</v>
      </c>
      <c r="F2805" s="6">
        <f t="shared" si="418"/>
        <v>2.7816058427308304E-2</v>
      </c>
      <c r="G2805" s="6">
        <f t="shared" si="418"/>
        <v>8.9953477679202212E-3</v>
      </c>
      <c r="H2805" s="6">
        <f t="shared" si="418"/>
        <v>0.13417729639976328</v>
      </c>
      <c r="I2805" s="6">
        <f t="shared" si="418"/>
        <v>1.0367383507011347E-2</v>
      </c>
      <c r="J2805" s="6">
        <f t="shared" si="418"/>
        <v>2.135210947071026E-2</v>
      </c>
      <c r="K2805" s="6">
        <f t="shared" ref="K2805:S2805" si="419">B2040*K$2754*B$571*(1-K$2717)*100/(24*$F$14)</f>
        <v>0.18104141512406793</v>
      </c>
      <c r="L2805" s="6">
        <f t="shared" si="419"/>
        <v>0.25744995139310584</v>
      </c>
      <c r="M2805" s="6">
        <f t="shared" si="419"/>
        <v>2.2739437400613773E-2</v>
      </c>
      <c r="N2805" s="6">
        <f t="shared" si="419"/>
        <v>6.7190019531161216E-2</v>
      </c>
      <c r="O2805" s="6">
        <f t="shared" si="419"/>
        <v>5.8454849165026315E-2</v>
      </c>
      <c r="P2805" s="6">
        <f t="shared" si="419"/>
        <v>1.8903530071841861E-2</v>
      </c>
      <c r="Q2805" s="6">
        <f t="shared" si="419"/>
        <v>0.281970705623736</v>
      </c>
      <c r="R2805" s="6">
        <f t="shared" si="419"/>
        <v>0.10893416849875605</v>
      </c>
      <c r="S2805" s="6">
        <f t="shared" si="419"/>
        <v>0.22435499654403704</v>
      </c>
      <c r="T2805" s="10"/>
    </row>
    <row r="2806" spans="1:20">
      <c r="A2806" s="11" t="s">
        <v>129</v>
      </c>
      <c r="B2806" s="6">
        <f t="shared" ref="B2806:J2806" si="420">B2041*B$2754*B$572*(1-B$2718)*100/(24*$F$14)</f>
        <v>0</v>
      </c>
      <c r="C2806" s="6">
        <f t="shared" si="420"/>
        <v>5.7955356154345279E-2</v>
      </c>
      <c r="D2806" s="6">
        <f t="shared" si="420"/>
        <v>5.1189452014683947E-3</v>
      </c>
      <c r="E2806" s="6">
        <f t="shared" si="420"/>
        <v>1.4828693755631938E-2</v>
      </c>
      <c r="F2806" s="6">
        <f t="shared" si="420"/>
        <v>3.2252150797404742E-3</v>
      </c>
      <c r="G2806" s="6">
        <f t="shared" si="420"/>
        <v>1.0638580547012182E-3</v>
      </c>
      <c r="H2806" s="6">
        <f t="shared" si="420"/>
        <v>1.5557583071599837E-2</v>
      </c>
      <c r="I2806" s="6">
        <f t="shared" si="420"/>
        <v>1.2020769122140969E-3</v>
      </c>
      <c r="J2806" s="6">
        <f t="shared" si="420"/>
        <v>2.475733419570188E-3</v>
      </c>
      <c r="K2806" s="6">
        <f t="shared" ref="K2806:S2806" si="421">B2041*K$2754*B$572*(1-K$2718)*100/(24*$F$14)</f>
        <v>1.300731700956788E-2</v>
      </c>
      <c r="L2806" s="6">
        <f t="shared" si="421"/>
        <v>3.0447983951077163E-2</v>
      </c>
      <c r="M2806" s="6">
        <f t="shared" si="421"/>
        <v>2.6893383404575492E-3</v>
      </c>
      <c r="N2806" s="6">
        <f t="shared" si="421"/>
        <v>7.7905453343170847E-3</v>
      </c>
      <c r="O2806" s="6">
        <f t="shared" si="421"/>
        <v>6.7777201972623723E-3</v>
      </c>
      <c r="P2806" s="6">
        <f t="shared" si="421"/>
        <v>2.2356748452723096E-3</v>
      </c>
      <c r="Q2806" s="6">
        <f t="shared" si="421"/>
        <v>3.2693926574798964E-2</v>
      </c>
      <c r="R2806" s="6">
        <f t="shared" si="421"/>
        <v>1.2630694023717429E-2</v>
      </c>
      <c r="S2806" s="6">
        <f t="shared" si="421"/>
        <v>2.6013502954054964E-2</v>
      </c>
      <c r="T2806" s="10"/>
    </row>
    <row r="2807" spans="1:20">
      <c r="A2807" s="11" t="s">
        <v>94</v>
      </c>
      <c r="B2807" s="6">
        <f t="shared" ref="B2807:J2807" si="422">B2042*B$2754*B$573*(1-B$2719)*100/(24*$F$14)</f>
        <v>0</v>
      </c>
      <c r="C2807" s="6">
        <f t="shared" si="422"/>
        <v>0.36146021878238083</v>
      </c>
      <c r="D2807" s="6">
        <f t="shared" si="422"/>
        <v>3.1926213127396269E-2</v>
      </c>
      <c r="E2807" s="6">
        <f t="shared" si="422"/>
        <v>9.4736790005701205E-2</v>
      </c>
      <c r="F2807" s="6">
        <f t="shared" si="422"/>
        <v>2.060508691917301E-2</v>
      </c>
      <c r="G2807" s="6">
        <f t="shared" si="422"/>
        <v>6.6351479953224097E-3</v>
      </c>
      <c r="H2807" s="6">
        <f t="shared" si="422"/>
        <v>9.9393480284844918E-2</v>
      </c>
      <c r="I2807" s="6">
        <f t="shared" si="422"/>
        <v>7.6797666658856342E-3</v>
      </c>
      <c r="J2807" s="6">
        <f t="shared" si="422"/>
        <v>1.5816837338814012E-2</v>
      </c>
      <c r="K2807" s="6">
        <f t="shared" ref="K2807:S2807" si="423">B2042*K$2754*B$573*(1-K$2719)*100/(24*$F$14)</f>
        <v>0.12892824098041752</v>
      </c>
      <c r="L2807" s="6">
        <f t="shared" si="423"/>
        <v>0.18990022097575537</v>
      </c>
      <c r="M2807" s="6">
        <f t="shared" si="423"/>
        <v>1.6773062740444347E-2</v>
      </c>
      <c r="N2807" s="6">
        <f t="shared" si="423"/>
        <v>4.9771832201118929E-2</v>
      </c>
      <c r="O2807" s="6">
        <f t="shared" si="423"/>
        <v>4.3301147466315151E-2</v>
      </c>
      <c r="P2807" s="6">
        <f t="shared" si="423"/>
        <v>1.3943620957936354E-2</v>
      </c>
      <c r="Q2807" s="6">
        <f t="shared" si="423"/>
        <v>0.2088732633784538</v>
      </c>
      <c r="R2807" s="6">
        <f t="shared" si="423"/>
        <v>8.0694323253976255E-2</v>
      </c>
      <c r="S2807" s="6">
        <f t="shared" si="423"/>
        <v>0.16619371923673321</v>
      </c>
      <c r="T2807" s="10"/>
    </row>
    <row r="2808" spans="1:20">
      <c r="A2808" s="11" t="s">
        <v>95</v>
      </c>
      <c r="B2808" s="6">
        <f t="shared" ref="B2808:J2808" si="424">B2043*B$2754*B$574*(1-B$2720)*100/(24*$F$14)</f>
        <v>0</v>
      </c>
      <c r="C2808" s="6">
        <f t="shared" si="424"/>
        <v>0.45124433032085204</v>
      </c>
      <c r="D2808" s="6">
        <f t="shared" si="424"/>
        <v>3.9856454220281029E-2</v>
      </c>
      <c r="E2808" s="6">
        <f t="shared" si="424"/>
        <v>0.12105886569662579</v>
      </c>
      <c r="F2808" s="6">
        <f t="shared" si="424"/>
        <v>2.6330092563462963E-2</v>
      </c>
      <c r="G2808" s="6">
        <f t="shared" si="424"/>
        <v>8.2832709054813138E-3</v>
      </c>
      <c r="H2808" s="6">
        <f t="shared" si="424"/>
        <v>0.12700939075726711</v>
      </c>
      <c r="I2808" s="6">
        <f t="shared" si="424"/>
        <v>9.8135459448322384E-3</v>
      </c>
      <c r="J2808" s="6">
        <f t="shared" si="424"/>
        <v>2.0211455201613136E-2</v>
      </c>
      <c r="K2808" s="6">
        <f t="shared" ref="K2808:S2808" si="425">B2043*K$2754*B$574*(1-K$2720)*100/(24*$F$14)</f>
        <v>0.16947258272938118</v>
      </c>
      <c r="L2808" s="6">
        <f t="shared" si="425"/>
        <v>0.23707006632886909</v>
      </c>
      <c r="M2808" s="6">
        <f t="shared" si="425"/>
        <v>2.0939370559885189E-2</v>
      </c>
      <c r="N2808" s="6">
        <f t="shared" si="425"/>
        <v>6.3600651336694541E-2</v>
      </c>
      <c r="O2808" s="6">
        <f t="shared" si="425"/>
        <v>5.5332123827701703E-2</v>
      </c>
      <c r="P2808" s="6">
        <f t="shared" si="425"/>
        <v>1.7407115844191721E-2</v>
      </c>
      <c r="Q2808" s="6">
        <f t="shared" si="425"/>
        <v>0.26690750591640772</v>
      </c>
      <c r="R2808" s="6">
        <f t="shared" si="425"/>
        <v>0.10311477980935747</v>
      </c>
      <c r="S2808" s="6">
        <f t="shared" si="425"/>
        <v>0.21236969434463265</v>
      </c>
      <c r="T2808" s="10"/>
    </row>
    <row r="2809" spans="1:20">
      <c r="A2809" s="11" t="s">
        <v>130</v>
      </c>
      <c r="B2809" s="6">
        <f t="shared" ref="B2809:J2809" si="426">B2044*B$2754*B$575*(1-B$2721)*100/(24*$F$14)</f>
        <v>0</v>
      </c>
      <c r="C2809" s="6">
        <f t="shared" si="426"/>
        <v>5.9231457874346138E-2</v>
      </c>
      <c r="D2809" s="6">
        <f t="shared" si="426"/>
        <v>5.2316577307260411E-3</v>
      </c>
      <c r="E2809" s="6">
        <f t="shared" si="426"/>
        <v>1.5264804143749052E-2</v>
      </c>
      <c r="F2809" s="6">
        <f t="shared" si="426"/>
        <v>3.3200683300244086E-3</v>
      </c>
      <c r="G2809" s="6">
        <f t="shared" si="426"/>
        <v>1.0872828282428644E-3</v>
      </c>
      <c r="H2809" s="6">
        <f t="shared" si="426"/>
        <v>1.6015130021002764E-2</v>
      </c>
      <c r="I2809" s="6">
        <f t="shared" si="426"/>
        <v>1.2374298729921293E-3</v>
      </c>
      <c r="J2809" s="6">
        <f t="shared" si="426"/>
        <v>2.5485444898017237E-3</v>
      </c>
      <c r="K2809" s="6">
        <f t="shared" ref="K2809:S2809" si="427">B2044*K$2754*B$575*(1-K$2721)*100/(24*$F$14)</f>
        <v>1.3665954236421038E-2</v>
      </c>
      <c r="L2809" s="6">
        <f t="shared" si="427"/>
        <v>3.1118409038053622E-2</v>
      </c>
      <c r="M2809" s="6">
        <f t="shared" si="427"/>
        <v>2.7485540801172712E-3</v>
      </c>
      <c r="N2809" s="6">
        <f t="shared" si="427"/>
        <v>8.0196644870477556E-3</v>
      </c>
      <c r="O2809" s="6">
        <f t="shared" si="427"/>
        <v>6.9770522648394404E-3</v>
      </c>
      <c r="P2809" s="6">
        <f t="shared" si="427"/>
        <v>2.2849015035956021E-3</v>
      </c>
      <c r="Q2809" s="6">
        <f t="shared" si="427"/>
        <v>3.3655451658705461E-2</v>
      </c>
      <c r="R2809" s="6">
        <f t="shared" si="427"/>
        <v>1.3002161461351965E-2</v>
      </c>
      <c r="S2809" s="6">
        <f t="shared" si="427"/>
        <v>2.6778557452889012E-2</v>
      </c>
      <c r="T2809" s="10"/>
    </row>
    <row r="2810" spans="1:20">
      <c r="A2810" s="11" t="s">
        <v>96</v>
      </c>
      <c r="B2810" s="6">
        <f t="shared" ref="B2810:J2810" si="428">B2045*B$2754*B$576*(1-B$2722)*100/(24*$F$14)</f>
        <v>0</v>
      </c>
      <c r="C2810" s="6">
        <f t="shared" si="428"/>
        <v>0.42080358295609266</v>
      </c>
      <c r="D2810" s="6">
        <f t="shared" si="428"/>
        <v>3.7167755056100947E-2</v>
      </c>
      <c r="E2810" s="6">
        <f t="shared" si="428"/>
        <v>0.11275697589987491</v>
      </c>
      <c r="F2810" s="6">
        <f t="shared" si="428"/>
        <v>2.4524445983658511E-2</v>
      </c>
      <c r="G2810" s="6">
        <f t="shared" si="428"/>
        <v>7.7244850326298317E-3</v>
      </c>
      <c r="H2810" s="6">
        <f t="shared" si="428"/>
        <v>0.11829943003566511</v>
      </c>
      <c r="I2810" s="6">
        <f t="shared" si="428"/>
        <v>9.1405594891891175E-3</v>
      </c>
      <c r="J2810" s="6">
        <f t="shared" si="428"/>
        <v>1.8825408233882162E-2</v>
      </c>
      <c r="K2810" s="6">
        <f t="shared" ref="K2810:S2810" si="429">B2045*K$2754*B$576*(1-K$2722)*100/(24*$F$14)</f>
        <v>0.15812773401984928</v>
      </c>
      <c r="L2810" s="6">
        <f t="shared" si="429"/>
        <v>0.22107742218476958</v>
      </c>
      <c r="M2810" s="6">
        <f t="shared" si="429"/>
        <v>1.9526809677984862E-2</v>
      </c>
      <c r="N2810" s="6">
        <f t="shared" si="429"/>
        <v>5.9239090575651236E-2</v>
      </c>
      <c r="O2810" s="6">
        <f t="shared" si="429"/>
        <v>5.1537596334036637E-2</v>
      </c>
      <c r="P2810" s="6">
        <f t="shared" si="429"/>
        <v>1.6232839337747041E-2</v>
      </c>
      <c r="Q2810" s="6">
        <f t="shared" si="429"/>
        <v>0.2486037105909456</v>
      </c>
      <c r="R2810" s="6">
        <f t="shared" si="429"/>
        <v>9.6043446921283179E-2</v>
      </c>
      <c r="S2810" s="6">
        <f t="shared" si="429"/>
        <v>0.19780595472528856</v>
      </c>
      <c r="T2810" s="10"/>
    </row>
    <row r="2811" spans="1:20">
      <c r="A2811" s="11" t="s">
        <v>97</v>
      </c>
      <c r="B2811" s="6">
        <f t="shared" ref="B2811:J2811" si="430">B2046*B$2754*B$577*(1-B$2723)*100/(24*$F$14)</f>
        <v>0</v>
      </c>
      <c r="C2811" s="6">
        <f t="shared" si="430"/>
        <v>0.41747066454769044</v>
      </c>
      <c r="D2811" s="6">
        <f t="shared" si="430"/>
        <v>3.687337283113213E-2</v>
      </c>
      <c r="E2811" s="6">
        <f t="shared" si="430"/>
        <v>0.11208268567464537</v>
      </c>
      <c r="F2811" s="6">
        <f t="shared" si="430"/>
        <v>2.4377789033399093E-2</v>
      </c>
      <c r="G2811" s="6">
        <f t="shared" si="430"/>
        <v>7.6633042836927057E-3</v>
      </c>
      <c r="H2811" s="6">
        <f t="shared" si="430"/>
        <v>0.11759199576220511</v>
      </c>
      <c r="I2811" s="6">
        <f t="shared" si="430"/>
        <v>9.0858986589610891E-3</v>
      </c>
      <c r="J2811" s="6">
        <f t="shared" si="430"/>
        <v>0</v>
      </c>
      <c r="K2811" s="6">
        <f t="shared" ref="K2811:S2811" si="431">B2046*K$2754*B$577*(1-K$2723)*100/(24*$F$14)</f>
        <v>0.15707860885005587</v>
      </c>
      <c r="L2811" s="6">
        <f t="shared" si="431"/>
        <v>0.219326408077652</v>
      </c>
      <c r="M2811" s="6">
        <f t="shared" si="431"/>
        <v>1.9372150197721084E-2</v>
      </c>
      <c r="N2811" s="6">
        <f t="shared" si="431"/>
        <v>5.8884838970303839E-2</v>
      </c>
      <c r="O2811" s="6">
        <f t="shared" si="431"/>
        <v>5.1229399903948605E-2</v>
      </c>
      <c r="P2811" s="6">
        <f t="shared" si="431"/>
        <v>1.6104269308306343E-2</v>
      </c>
      <c r="Q2811" s="6">
        <f t="shared" si="431"/>
        <v>0.24711705266428999</v>
      </c>
      <c r="R2811" s="6">
        <f t="shared" si="431"/>
        <v>9.5469104119522724E-2</v>
      </c>
      <c r="S2811" s="6">
        <f t="shared" si="431"/>
        <v>0</v>
      </c>
      <c r="T2811" s="10"/>
    </row>
    <row r="2812" spans="1:20">
      <c r="A2812" s="11" t="s">
        <v>110</v>
      </c>
      <c r="B2812" s="6">
        <f t="shared" ref="B2812:J2812" si="432">B2047*B$2754*B$578*(1-B$2724)*100/(24*$F$14)</f>
        <v>0</v>
      </c>
      <c r="C2812" s="6">
        <f t="shared" si="432"/>
        <v>0.38583128959549118</v>
      </c>
      <c r="D2812" s="6">
        <f t="shared" si="432"/>
        <v>2.181043461871637E-2</v>
      </c>
      <c r="E2812" s="6">
        <f t="shared" si="432"/>
        <v>6.6557317761646126E-2</v>
      </c>
      <c r="F2812" s="6">
        <f t="shared" si="432"/>
        <v>8.1428066762189496E-3</v>
      </c>
      <c r="G2812" s="6">
        <f t="shared" si="432"/>
        <v>2.5497056851062501E-3</v>
      </c>
      <c r="H2812" s="6">
        <f t="shared" si="432"/>
        <v>3.9278742089798216E-2</v>
      </c>
      <c r="I2812" s="6">
        <f t="shared" si="432"/>
        <v>0</v>
      </c>
      <c r="J2812" s="6">
        <f t="shared" si="432"/>
        <v>0</v>
      </c>
      <c r="K2812" s="6">
        <f t="shared" ref="K2812:S2812" si="433">B2047*K$2754*B$578*(1-K$2724)*100/(24*$F$14)</f>
        <v>0.14590714754974921</v>
      </c>
      <c r="L2812" s="6">
        <f t="shared" si="433"/>
        <v>0.20270404140284304</v>
      </c>
      <c r="M2812" s="6">
        <f t="shared" si="433"/>
        <v>1.7903968656390292E-2</v>
      </c>
      <c r="N2812" s="6">
        <f t="shared" si="433"/>
        <v>5.463623957476433E-2</v>
      </c>
      <c r="O2812" s="6">
        <f t="shared" si="433"/>
        <v>4.753314801175048E-2</v>
      </c>
      <c r="P2812" s="6">
        <f t="shared" si="433"/>
        <v>1.4883754771006461E-2</v>
      </c>
      <c r="Q2812" s="6">
        <f t="shared" si="433"/>
        <v>0.22928731280363621</v>
      </c>
      <c r="R2812" s="6">
        <f t="shared" si="433"/>
        <v>0</v>
      </c>
      <c r="S2812" s="6">
        <f t="shared" si="433"/>
        <v>0</v>
      </c>
      <c r="T2812" s="10"/>
    </row>
    <row r="2813" spans="1:20">
      <c r="A2813" s="11" t="s">
        <v>1647</v>
      </c>
      <c r="B2813" s="6">
        <f t="shared" ref="B2813:J2813" si="434">B2048*B$2754*B$579*(1-B$2725)*100/(24*$F$14)</f>
        <v>0</v>
      </c>
      <c r="C2813" s="6">
        <f t="shared" si="434"/>
        <v>2.8139411396464551</v>
      </c>
      <c r="D2813" s="6">
        <f t="shared" si="434"/>
        <v>0.2485432141189203</v>
      </c>
      <c r="E2813" s="6">
        <f t="shared" si="434"/>
        <v>0.68333382108114549</v>
      </c>
      <c r="F2813" s="6">
        <f t="shared" si="434"/>
        <v>0.14862391661507937</v>
      </c>
      <c r="G2813" s="6">
        <f t="shared" si="434"/>
        <v>5.1654137693424466E-2</v>
      </c>
      <c r="H2813" s="6">
        <f t="shared" si="434"/>
        <v>0.71692239804102753</v>
      </c>
      <c r="I2813" s="6">
        <f t="shared" si="434"/>
        <v>5.5393942527453444E-2</v>
      </c>
      <c r="J2813" s="6">
        <f t="shared" si="434"/>
        <v>0.11408640608891522</v>
      </c>
      <c r="K2813" s="6">
        <f t="shared" ref="K2813:S2813" si="435">B2048*K$2754*B$579*(1-K$2725)*100/(24*$F$14)</f>
        <v>0.99480636434252911</v>
      </c>
      <c r="L2813" s="6">
        <f t="shared" si="435"/>
        <v>1.4783592120640805</v>
      </c>
      <c r="M2813" s="6">
        <f t="shared" si="435"/>
        <v>0.13057705614797832</v>
      </c>
      <c r="N2813" s="6">
        <f t="shared" si="435"/>
        <v>0.35900283594317944</v>
      </c>
      <c r="O2813" s="6">
        <f t="shared" si="435"/>
        <v>0.31232996762477</v>
      </c>
      <c r="P2813" s="6">
        <f t="shared" si="435"/>
        <v>0.10855006058853794</v>
      </c>
      <c r="Q2813" s="6">
        <f t="shared" si="435"/>
        <v>1.5065970166130589</v>
      </c>
      <c r="R2813" s="6">
        <f t="shared" si="435"/>
        <v>0.58204590049312799</v>
      </c>
      <c r="S2813" s="6">
        <f t="shared" si="435"/>
        <v>1.1987506564122519</v>
      </c>
      <c r="T2813" s="10"/>
    </row>
    <row r="2814" spans="1:20">
      <c r="A2814" s="11" t="s">
        <v>1646</v>
      </c>
      <c r="B2814" s="6">
        <f t="shared" ref="B2814:J2814" si="436">B2049*B$2754*B$580*(1-B$2726)*100/(24*$F$14)</f>
        <v>0</v>
      </c>
      <c r="C2814" s="6">
        <f t="shared" si="436"/>
        <v>2.8496854297957395</v>
      </c>
      <c r="D2814" s="6">
        <f t="shared" si="436"/>
        <v>0.25170035221073506</v>
      </c>
      <c r="E2814" s="6">
        <f t="shared" si="436"/>
        <v>0.67171311184053428</v>
      </c>
      <c r="F2814" s="6">
        <f t="shared" si="436"/>
        <v>0.14609643258326002</v>
      </c>
      <c r="G2814" s="6">
        <f t="shared" si="436"/>
        <v>5.2310278100596186E-2</v>
      </c>
      <c r="H2814" s="6">
        <f t="shared" si="436"/>
        <v>0.70473048469107036</v>
      </c>
      <c r="I2814" s="6">
        <f t="shared" si="436"/>
        <v>5.4451918468430283E-2</v>
      </c>
      <c r="J2814" s="6">
        <f t="shared" si="436"/>
        <v>0.11214626363940496</v>
      </c>
      <c r="K2814" s="6">
        <f t="shared" ref="K2814:S2814" si="437">B2049*K$2754*B$580*(1-K$2726)*100/(24*$F$14)</f>
        <v>0.99743756110374526</v>
      </c>
      <c r="L2814" s="6">
        <f t="shared" si="437"/>
        <v>1.4971381765123295</v>
      </c>
      <c r="M2814" s="6">
        <f t="shared" si="437"/>
        <v>0.13223572061541597</v>
      </c>
      <c r="N2814" s="6">
        <f t="shared" si="437"/>
        <v>0.35289766824278679</v>
      </c>
      <c r="O2814" s="6">
        <f t="shared" si="437"/>
        <v>0.30701851423416432</v>
      </c>
      <c r="P2814" s="6">
        <f t="shared" si="437"/>
        <v>0.10992892555722261</v>
      </c>
      <c r="Q2814" s="6">
        <f t="shared" si="437"/>
        <v>1.4809759726478522</v>
      </c>
      <c r="R2814" s="6">
        <f t="shared" si="437"/>
        <v>0.572147683888513</v>
      </c>
      <c r="S2814" s="6">
        <f t="shared" si="437"/>
        <v>1.1783648180410167</v>
      </c>
      <c r="T2814" s="10"/>
    </row>
    <row r="2815" spans="1:20">
      <c r="A2815" s="11" t="s">
        <v>98</v>
      </c>
      <c r="B2815" s="6">
        <f t="shared" ref="B2815:J2815" si="438">B2050*B$2754*B$581*(1-B$2727)*100/(24*$F$14)</f>
        <v>0</v>
      </c>
      <c r="C2815" s="6">
        <f t="shared" si="438"/>
        <v>2.2922513159897684</v>
      </c>
      <c r="D2815" s="6">
        <f t="shared" si="438"/>
        <v>0.20246461506156527</v>
      </c>
      <c r="E2815" s="6">
        <f t="shared" si="438"/>
        <v>0.5530596069471404</v>
      </c>
      <c r="F2815" s="6">
        <f t="shared" si="438"/>
        <v>0.1202895018075205</v>
      </c>
      <c r="G2815" s="6">
        <f t="shared" si="438"/>
        <v>4.207773340950028E-2</v>
      </c>
      <c r="H2815" s="6">
        <f t="shared" si="438"/>
        <v>0.58024468779379768</v>
      </c>
      <c r="I2815" s="6">
        <f t="shared" si="438"/>
        <v>4.4833361288944391E-2</v>
      </c>
      <c r="J2815" s="6">
        <f t="shared" si="438"/>
        <v>9.2336396886836689E-2</v>
      </c>
      <c r="K2815" s="6">
        <f t="shared" ref="K2815:S2815" si="439">B2050*K$2754*B$581*(1-K$2727)*100/(24*$F$14)</f>
        <v>0.8268771019014548</v>
      </c>
      <c r="L2815" s="6">
        <f t="shared" si="439"/>
        <v>1.2042792230491548</v>
      </c>
      <c r="M2815" s="6">
        <f t="shared" si="439"/>
        <v>0.10636875966456044</v>
      </c>
      <c r="N2815" s="6">
        <f t="shared" si="439"/>
        <v>0.29056072041847009</v>
      </c>
      <c r="O2815" s="6">
        <f t="shared" si="439"/>
        <v>0.25278580366338393</v>
      </c>
      <c r="P2815" s="6">
        <f t="shared" si="439"/>
        <v>8.8425452732144763E-2</v>
      </c>
      <c r="Q2815" s="6">
        <f t="shared" si="439"/>
        <v>1.2193717450095394</v>
      </c>
      <c r="R2815" s="6">
        <f t="shared" si="439"/>
        <v>0.4710817275846465</v>
      </c>
      <c r="S2815" s="6">
        <f t="shared" si="439"/>
        <v>0.97021477118466493</v>
      </c>
      <c r="T2815" s="10"/>
    </row>
    <row r="2816" spans="1:20">
      <c r="A2816" s="11" t="s">
        <v>99</v>
      </c>
      <c r="B2816" s="6">
        <f t="shared" ref="B2816:J2816" si="440">B2051*B$2754*B$582*(1-B$2728)*100/(24*$F$14)</f>
        <v>0</v>
      </c>
      <c r="C2816" s="6">
        <f t="shared" si="440"/>
        <v>2.0312103657879397</v>
      </c>
      <c r="D2816" s="6">
        <f t="shared" si="440"/>
        <v>0.17940800031376319</v>
      </c>
      <c r="E2816" s="6">
        <f t="shared" si="440"/>
        <v>0.49007733082904664</v>
      </c>
      <c r="F2816" s="6">
        <f t="shared" si="440"/>
        <v>0.1065909663842433</v>
      </c>
      <c r="G2816" s="6">
        <f t="shared" si="440"/>
        <v>3.7285932687242902E-2</v>
      </c>
      <c r="H2816" s="6">
        <f t="shared" si="440"/>
        <v>0.51416658213641064</v>
      </c>
      <c r="I2816" s="6">
        <f t="shared" si="440"/>
        <v>3.9727750420724857E-2</v>
      </c>
      <c r="J2816" s="6">
        <f t="shared" si="440"/>
        <v>0</v>
      </c>
      <c r="K2816" s="6">
        <f t="shared" ref="K2816:S2816" si="441">B2051*K$2754*B$582*(1-K$2728)*100/(24*$F$14)</f>
        <v>0.73271256467343771</v>
      </c>
      <c r="L2816" s="6">
        <f t="shared" si="441"/>
        <v>1.0671362359341785</v>
      </c>
      <c r="M2816" s="6">
        <f t="shared" si="441"/>
        <v>9.4255514532607027E-2</v>
      </c>
      <c r="N2816" s="6">
        <f t="shared" si="441"/>
        <v>0.25747174539191858</v>
      </c>
      <c r="O2816" s="6">
        <f t="shared" si="441"/>
        <v>0.22399862578043445</v>
      </c>
      <c r="P2816" s="6">
        <f t="shared" si="441"/>
        <v>7.8355586464772087E-2</v>
      </c>
      <c r="Q2816" s="6">
        <f t="shared" si="441"/>
        <v>1.0805100256395099</v>
      </c>
      <c r="R2816" s="6">
        <f t="shared" si="441"/>
        <v>0.41743506984968642</v>
      </c>
      <c r="S2816" s="6">
        <f t="shared" si="441"/>
        <v>0</v>
      </c>
      <c r="T2816" s="10"/>
    </row>
    <row r="2817" spans="1:20">
      <c r="A2817" s="11" t="s">
        <v>111</v>
      </c>
      <c r="B2817" s="6">
        <f t="shared" ref="B2817:J2817" si="442">B2052*B$2754*B$583*(1-B$2729)*100/(24*$F$14)</f>
        <v>0</v>
      </c>
      <c r="C2817" s="6">
        <f t="shared" si="442"/>
        <v>2.0662272815533931</v>
      </c>
      <c r="D2817" s="6">
        <f t="shared" si="442"/>
        <v>0.11680057125220508</v>
      </c>
      <c r="E2817" s="6">
        <f t="shared" si="442"/>
        <v>0.31905663124543121</v>
      </c>
      <c r="F2817" s="6">
        <f t="shared" si="442"/>
        <v>3.9034272329020139E-2</v>
      </c>
      <c r="G2817" s="6">
        <f t="shared" si="442"/>
        <v>1.365433957422588E-2</v>
      </c>
      <c r="H2817" s="6">
        <f t="shared" si="442"/>
        <v>0.18829098816164788</v>
      </c>
      <c r="I2817" s="6">
        <f t="shared" si="442"/>
        <v>0</v>
      </c>
      <c r="J2817" s="6">
        <f t="shared" si="442"/>
        <v>0</v>
      </c>
      <c r="K2817" s="6">
        <f t="shared" ref="K2817:S2817" si="443">B2052*K$2754*B$583*(1-K$2729)*100/(24*$F$14)</f>
        <v>0.74534411411292978</v>
      </c>
      <c r="L2817" s="6">
        <f t="shared" si="443"/>
        <v>1.0855330599723796</v>
      </c>
      <c r="M2817" s="6">
        <f t="shared" si="443"/>
        <v>9.5880426195332547E-2</v>
      </c>
      <c r="N2817" s="6">
        <f t="shared" si="443"/>
        <v>0.26191041239176699</v>
      </c>
      <c r="O2817" s="6">
        <f t="shared" si="443"/>
        <v>0.22786023516498877</v>
      </c>
      <c r="P2817" s="6">
        <f t="shared" si="443"/>
        <v>7.9706392376953053E-2</v>
      </c>
      <c r="Q2817" s="6">
        <f t="shared" si="443"/>
        <v>1.0991374062342665</v>
      </c>
      <c r="R2817" s="6">
        <f t="shared" si="443"/>
        <v>0</v>
      </c>
      <c r="S2817" s="6">
        <f t="shared" si="443"/>
        <v>0</v>
      </c>
      <c r="T2817" s="10"/>
    </row>
    <row r="2818" spans="1:20">
      <c r="A2818" s="11" t="s">
        <v>131</v>
      </c>
      <c r="B2818" s="6">
        <f t="shared" ref="B2818:J2818" si="444">B2053*B$2754*B$584*(1-B$2730)*100/(24*$F$14)</f>
        <v>0</v>
      </c>
      <c r="C2818" s="6">
        <f t="shared" si="444"/>
        <v>0.24671232844708907</v>
      </c>
      <c r="D2818" s="6">
        <f t="shared" si="444"/>
        <v>2.1791029745102049E-2</v>
      </c>
      <c r="E2818" s="6">
        <f t="shared" si="444"/>
        <v>6.4601344106455294E-2</v>
      </c>
      <c r="F2818" s="6">
        <f t="shared" si="444"/>
        <v>1.4050679892455826E-2</v>
      </c>
      <c r="G2818" s="6">
        <f t="shared" si="444"/>
        <v>4.5287772386996081E-3</v>
      </c>
      <c r="H2818" s="6">
        <f t="shared" si="444"/>
        <v>6.7776757281231878E-2</v>
      </c>
      <c r="I2818" s="6">
        <f t="shared" si="444"/>
        <v>5.2368593976036782E-3</v>
      </c>
      <c r="J2818" s="6">
        <f t="shared" si="444"/>
        <v>1.0785555976079237E-2</v>
      </c>
      <c r="K2818" s="6">
        <f t="shared" ref="K2818:S2818" si="445">B2053*K$2754*B$584*(1-K$2730)*100/(24*$F$14)</f>
        <v>8.7645430298599156E-2</v>
      </c>
      <c r="L2818" s="6">
        <f t="shared" si="445"/>
        <v>0.1296151644221521</v>
      </c>
      <c r="M2818" s="6">
        <f t="shared" si="445"/>
        <v>1.1448345208841689E-2</v>
      </c>
      <c r="N2818" s="6">
        <f t="shared" si="445"/>
        <v>3.3939584174635211E-2</v>
      </c>
      <c r="O2818" s="6">
        <f t="shared" si="445"/>
        <v>2.9527201919206342E-2</v>
      </c>
      <c r="P2818" s="6">
        <f t="shared" si="445"/>
        <v>9.5171280676594125E-3</v>
      </c>
      <c r="Q2818" s="6">
        <f t="shared" si="445"/>
        <v>0.14243139926250112</v>
      </c>
      <c r="R2818" s="6">
        <f t="shared" si="445"/>
        <v>5.5025737558280628E-2</v>
      </c>
      <c r="S2818" s="6">
        <f t="shared" si="445"/>
        <v>0.11332807079591478</v>
      </c>
      <c r="T2818" s="10"/>
    </row>
    <row r="2819" spans="1:20">
      <c r="A2819" s="11" t="s">
        <v>132</v>
      </c>
      <c r="B2819" s="6">
        <f t="shared" ref="B2819:J2819" si="446">B2054*B$2754*B$585*(1-B$2731)*100/(24*$F$14)</f>
        <v>0</v>
      </c>
      <c r="C2819" s="6">
        <f t="shared" si="446"/>
        <v>0.33999328727717509</v>
      </c>
      <c r="D2819" s="6">
        <f t="shared" si="446"/>
        <v>3.00301321900939E-2</v>
      </c>
      <c r="E2819" s="6">
        <f t="shared" si="446"/>
        <v>8.3659897615482939E-2</v>
      </c>
      <c r="F2819" s="6">
        <f t="shared" si="446"/>
        <v>1.8195882105699404E-2</v>
      </c>
      <c r="G2819" s="6">
        <f t="shared" si="446"/>
        <v>6.2410900599227633E-3</v>
      </c>
      <c r="H2819" s="6">
        <f t="shared" si="446"/>
        <v>8.7772114547856647E-2</v>
      </c>
      <c r="I2819" s="6">
        <f t="shared" si="446"/>
        <v>6.7818267110393588E-3</v>
      </c>
      <c r="J2819" s="6">
        <f t="shared" si="446"/>
        <v>1.3967488156251612E-2</v>
      </c>
      <c r="K2819" s="6">
        <f t="shared" ref="K2819:S2819" si="447">B2054*K$2754*B$585*(1-K$2731)*100/(24*$F$14)</f>
        <v>9.0712585194316048E-2</v>
      </c>
      <c r="L2819" s="6">
        <f t="shared" si="447"/>
        <v>0.17862214713890998</v>
      </c>
      <c r="M2819" s="6">
        <f t="shared" si="447"/>
        <v>1.5776919402196613E-2</v>
      </c>
      <c r="N2819" s="6">
        <f t="shared" si="447"/>
        <v>4.3952369357564525E-2</v>
      </c>
      <c r="O2819" s="6">
        <f t="shared" si="447"/>
        <v>3.8238255311868273E-2</v>
      </c>
      <c r="P2819" s="6">
        <f t="shared" si="447"/>
        <v>1.3115516672914652E-2</v>
      </c>
      <c r="Q2819" s="6">
        <f t="shared" si="447"/>
        <v>0.18445121296385122</v>
      </c>
      <c r="R2819" s="6">
        <f t="shared" si="447"/>
        <v>7.1259315638328824E-2</v>
      </c>
      <c r="S2819" s="6">
        <f t="shared" si="447"/>
        <v>0.14676188136461765</v>
      </c>
      <c r="T2819" s="10"/>
    </row>
    <row r="2820" spans="1:20">
      <c r="A2820" s="11" t="s">
        <v>133</v>
      </c>
      <c r="B2820" s="6">
        <f t="shared" ref="B2820:J2820" si="448">B2055*B$2754*B$586*(1-B$2732)*100/(24*$F$14)</f>
        <v>0</v>
      </c>
      <c r="C2820" s="6">
        <f t="shared" si="448"/>
        <v>0.56275020321613267</v>
      </c>
      <c r="D2820" s="6">
        <f t="shared" si="448"/>
        <v>4.9705284265820243E-2</v>
      </c>
      <c r="E2820" s="6">
        <f t="shared" si="448"/>
        <v>0.13979657675924545</v>
      </c>
      <c r="F2820" s="6">
        <f t="shared" si="448"/>
        <v>3.0405512103098969E-2</v>
      </c>
      <c r="G2820" s="6">
        <f t="shared" si="448"/>
        <v>1.0330129537670743E-2</v>
      </c>
      <c r="H2820" s="6">
        <f t="shared" si="448"/>
        <v>0.14666813489429698</v>
      </c>
      <c r="I2820" s="6">
        <f t="shared" si="448"/>
        <v>1.1332504406534848E-2</v>
      </c>
      <c r="J2820" s="6">
        <f t="shared" si="448"/>
        <v>2.3339820939583734E-2</v>
      </c>
      <c r="K2820" s="6">
        <f t="shared" ref="K2820:S2820" si="449">B2055*K$2754*B$586*(1-K$2732)*100/(24*$F$14)</f>
        <v>0.1559732047970023</v>
      </c>
      <c r="L2820" s="6">
        <f t="shared" si="449"/>
        <v>0.29565186538337807</v>
      </c>
      <c r="M2820" s="6">
        <f t="shared" si="449"/>
        <v>2.6113646745244818E-2</v>
      </c>
      <c r="N2820" s="6">
        <f t="shared" si="449"/>
        <v>7.3444875642644028E-2</v>
      </c>
      <c r="O2820" s="6">
        <f t="shared" si="449"/>
        <v>6.3896530431037865E-2</v>
      </c>
      <c r="P2820" s="6">
        <f t="shared" si="449"/>
        <v>2.1708545283572703E-2</v>
      </c>
      <c r="Q2820" s="6">
        <f t="shared" si="449"/>
        <v>0.30821993435794987</v>
      </c>
      <c r="R2820" s="6">
        <f t="shared" si="449"/>
        <v>0.11907507267378369</v>
      </c>
      <c r="S2820" s="6">
        <f t="shared" si="449"/>
        <v>0.2452406612761979</v>
      </c>
      <c r="T2820" s="10"/>
    </row>
    <row r="2821" spans="1:20">
      <c r="A2821" s="11" t="s">
        <v>134</v>
      </c>
      <c r="B2821" s="6">
        <f t="shared" ref="B2821:J2821" si="450">B2056*B$2754*B$587*(1-B$2733)*100/(24*$F$14)</f>
        <v>0</v>
      </c>
      <c r="C2821" s="6">
        <f t="shared" si="450"/>
        <v>0.16511629293072297</v>
      </c>
      <c r="D2821" s="6">
        <f t="shared" si="450"/>
        <v>1.4584005887756114E-2</v>
      </c>
      <c r="E2821" s="6">
        <f t="shared" si="450"/>
        <v>4.8011884981066788E-2</v>
      </c>
      <c r="F2821" s="6">
        <f t="shared" si="450"/>
        <v>1.0442501409734099E-2</v>
      </c>
      <c r="G2821" s="6">
        <f t="shared" si="450"/>
        <v>3.0309588250815194E-3</v>
      </c>
      <c r="H2821" s="6">
        <f t="shared" si="450"/>
        <v>5.0371860214144075E-2</v>
      </c>
      <c r="I2821" s="6">
        <f t="shared" si="450"/>
        <v>3.8920473642999991E-3</v>
      </c>
      <c r="J2821" s="6">
        <f t="shared" si="450"/>
        <v>8.0158529229212919E-3</v>
      </c>
      <c r="K2821" s="6">
        <f t="shared" ref="K2821:S2821" si="451">B2056*K$2754*B$587*(1-K$2733)*100/(24*$F$14)</f>
        <v>8.5408044675781489E-2</v>
      </c>
      <c r="L2821" s="6">
        <f t="shared" si="451"/>
        <v>8.6747085529541135E-2</v>
      </c>
      <c r="M2821" s="6">
        <f t="shared" si="451"/>
        <v>7.661993759993822E-3</v>
      </c>
      <c r="N2821" s="6">
        <f t="shared" si="451"/>
        <v>2.5223986191565819E-2</v>
      </c>
      <c r="O2821" s="6">
        <f t="shared" si="451"/>
        <v>2.1944692358436706E-2</v>
      </c>
      <c r="P2821" s="6">
        <f t="shared" si="451"/>
        <v>6.3694948516359725E-3</v>
      </c>
      <c r="Q2821" s="6">
        <f t="shared" si="451"/>
        <v>0.1058553820151906</v>
      </c>
      <c r="R2821" s="6">
        <f t="shared" si="451"/>
        <v>4.0895269582828159E-2</v>
      </c>
      <c r="S2821" s="6">
        <f t="shared" si="451"/>
        <v>8.4225713496198812E-2</v>
      </c>
      <c r="T2821" s="10"/>
    </row>
    <row r="2822" spans="1:20">
      <c r="A2822" s="11" t="s">
        <v>135</v>
      </c>
      <c r="B2822" s="6">
        <f t="shared" ref="B2822:J2822" si="452">B2057*B$2754*B$588*(1-B$2734)*100/(24*$F$14)</f>
        <v>0</v>
      </c>
      <c r="C2822" s="6">
        <f t="shared" si="452"/>
        <v>6.3871006675533044</v>
      </c>
      <c r="D2822" s="6">
        <f t="shared" si="452"/>
        <v>0.56414489501875331</v>
      </c>
      <c r="E2822" s="6">
        <f t="shared" si="452"/>
        <v>1.5581232276408183</v>
      </c>
      <c r="F2822" s="6">
        <f t="shared" si="452"/>
        <v>0.33888908980755394</v>
      </c>
      <c r="G2822" s="6">
        <f t="shared" si="452"/>
        <v>0.11724487505982911</v>
      </c>
      <c r="H2822" s="6">
        <f t="shared" si="452"/>
        <v>1.6347111855759182</v>
      </c>
      <c r="I2822" s="6">
        <f t="shared" si="452"/>
        <v>0.1263080881699494</v>
      </c>
      <c r="J2822" s="6">
        <f t="shared" si="452"/>
        <v>0.26013739376159567</v>
      </c>
      <c r="K2822" s="6">
        <f t="shared" ref="K2822:S2822" si="453">B2057*K$2754*B$588*(1-K$2734)*100/(24*$F$14)</f>
        <v>1.5926087698140343</v>
      </c>
      <c r="L2822" s="6">
        <f t="shared" si="453"/>
        <v>3.3555887069636503</v>
      </c>
      <c r="M2822" s="6">
        <f t="shared" si="453"/>
        <v>0.29638459409804241</v>
      </c>
      <c r="N2822" s="6">
        <f t="shared" si="453"/>
        <v>0.81859062176518427</v>
      </c>
      <c r="O2822" s="6">
        <f t="shared" si="453"/>
        <v>0.71216814129659423</v>
      </c>
      <c r="P2822" s="6">
        <f t="shared" si="453"/>
        <v>0.24638758596603463</v>
      </c>
      <c r="Q2822" s="6">
        <f t="shared" si="453"/>
        <v>3.435310435191246</v>
      </c>
      <c r="R2822" s="6">
        <f t="shared" si="453"/>
        <v>1.3271686679822123</v>
      </c>
      <c r="S2822" s="6">
        <f t="shared" si="453"/>
        <v>2.733365720067011</v>
      </c>
      <c r="T2822" s="10"/>
    </row>
    <row r="2823" spans="1:20">
      <c r="A2823" s="11" t="s">
        <v>102</v>
      </c>
      <c r="B2823" s="6">
        <f t="shared" ref="B2823:J2823" si="454">B2058*B$2754*B$592*(1-B$2738)*100/(24*$F$14)</f>
        <v>0</v>
      </c>
      <c r="C2823" s="6">
        <f t="shared" si="454"/>
        <v>-1.9662380275053593</v>
      </c>
      <c r="D2823" s="6">
        <f t="shared" si="454"/>
        <v>-0.17366927552025058</v>
      </c>
      <c r="E2823" s="6">
        <f t="shared" si="454"/>
        <v>-0.47440122427722886</v>
      </c>
      <c r="F2823" s="6">
        <f t="shared" si="454"/>
        <v>-0.10318144049641252</v>
      </c>
      <c r="G2823" s="6">
        <f t="shared" si="454"/>
        <v>-3.6093267332368492E-2</v>
      </c>
      <c r="H2823" s="6">
        <f t="shared" si="454"/>
        <v>-0.49771993255700792</v>
      </c>
      <c r="I2823" s="6">
        <f t="shared" si="454"/>
        <v>-3.8456978627208545E-2</v>
      </c>
      <c r="J2823" s="6">
        <f t="shared" si="454"/>
        <v>0</v>
      </c>
      <c r="K2823" s="6">
        <f t="shared" ref="K2823:S2823" si="455">B2058*K$2754*B$592*(1-K$2738)*100/(24*$F$14)</f>
        <v>-0.70927528342591295</v>
      </c>
      <c r="L2823" s="6">
        <f t="shared" si="455"/>
        <v>-1.0330017426869376</v>
      </c>
      <c r="M2823" s="6">
        <f t="shared" si="455"/>
        <v>-9.124056281792553E-2</v>
      </c>
      <c r="N2823" s="6">
        <f t="shared" si="455"/>
        <v>-0.24923599511140998</v>
      </c>
      <c r="O2823" s="6">
        <f t="shared" si="455"/>
        <v>-0.21683358037983466</v>
      </c>
      <c r="P2823" s="6">
        <f t="shared" si="455"/>
        <v>-7.5849225845573368E-2</v>
      </c>
      <c r="Q2823" s="6">
        <f t="shared" si="455"/>
        <v>-1.0459477448998997</v>
      </c>
      <c r="R2823" s="6">
        <f t="shared" si="455"/>
        <v>-0.40408257174013429</v>
      </c>
      <c r="S2823" s="6">
        <f t="shared" si="455"/>
        <v>0</v>
      </c>
      <c r="T2823" s="10"/>
    </row>
    <row r="2824" spans="1:20">
      <c r="A2824" s="11" t="s">
        <v>104</v>
      </c>
      <c r="B2824" s="6">
        <f t="shared" ref="B2824:J2824" si="456">B2059*B$2754*B$594*(1-B$2740)*100/(24*$F$14)</f>
        <v>0</v>
      </c>
      <c r="C2824" s="6">
        <f t="shared" si="456"/>
        <v>-1.9281818076181594</v>
      </c>
      <c r="D2824" s="6">
        <f t="shared" si="456"/>
        <v>-0.17030793470372965</v>
      </c>
      <c r="E2824" s="6">
        <f t="shared" si="456"/>
        <v>-0.46521926509766953</v>
      </c>
      <c r="F2824" s="6">
        <f t="shared" si="456"/>
        <v>-0.1011843803577723</v>
      </c>
      <c r="G2824" s="6">
        <f t="shared" si="456"/>
        <v>-3.5394687964645233E-2</v>
      </c>
      <c r="H2824" s="6">
        <f t="shared" si="456"/>
        <v>-0.48808664353977554</v>
      </c>
      <c r="I2824" s="6">
        <f t="shared" si="456"/>
        <v>0</v>
      </c>
      <c r="J2824" s="6">
        <f t="shared" si="456"/>
        <v>0</v>
      </c>
      <c r="K2824" s="6">
        <f t="shared" ref="K2824:S2824" si="457">B2059*K$2754*B$594*(1-K$2740)*100/(24*$F$14)</f>
        <v>-0.69554737471444372</v>
      </c>
      <c r="L2824" s="6">
        <f t="shared" si="457"/>
        <v>-1.0130081605704164</v>
      </c>
      <c r="M2824" s="6">
        <f t="shared" si="457"/>
        <v>-8.9474616440804414E-2</v>
      </c>
      <c r="N2824" s="6">
        <f t="shared" si="457"/>
        <v>-0.2444120726253827</v>
      </c>
      <c r="O2824" s="6">
        <f t="shared" si="457"/>
        <v>-0.21263680140474112</v>
      </c>
      <c r="P2824" s="6">
        <f t="shared" si="457"/>
        <v>-7.4381176313078418E-2</v>
      </c>
      <c r="Q2824" s="6">
        <f t="shared" si="457"/>
        <v>-1.0257035949986111</v>
      </c>
      <c r="R2824" s="6">
        <f t="shared" si="457"/>
        <v>0</v>
      </c>
      <c r="S2824" s="6">
        <f t="shared" si="457"/>
        <v>0</v>
      </c>
      <c r="T2824" s="10"/>
    </row>
    <row r="2825" spans="1:20">
      <c r="A2825" s="11" t="s">
        <v>113</v>
      </c>
      <c r="B2825" s="6">
        <f t="shared" ref="B2825:J2825" si="458">B2060*B$2754*B$596*(1-B$2742)*100/(24*$F$14)</f>
        <v>0</v>
      </c>
      <c r="C2825" s="6">
        <f t="shared" si="458"/>
        <v>-1.8917565685832674</v>
      </c>
      <c r="D2825" s="6">
        <f t="shared" si="458"/>
        <v>-0.10693801686449525</v>
      </c>
      <c r="E2825" s="6">
        <f t="shared" si="458"/>
        <v>-0.29211572381080136</v>
      </c>
      <c r="F2825" s="6">
        <f t="shared" si="458"/>
        <v>-3.5738247063883698E-2</v>
      </c>
      <c r="G2825" s="6">
        <f t="shared" si="458"/>
        <v>-1.2501377176565354E-2</v>
      </c>
      <c r="H2825" s="6">
        <f t="shared" si="458"/>
        <v>0</v>
      </c>
      <c r="I2825" s="6">
        <f t="shared" si="458"/>
        <v>0</v>
      </c>
      <c r="J2825" s="6">
        <f t="shared" si="458"/>
        <v>0</v>
      </c>
      <c r="K2825" s="6">
        <f t="shared" ref="K2825:S2825" si="459">B2060*K$2754*B$596*(1-K$2742)*100/(24*$F$14)</f>
        <v>-0.68240780494775166</v>
      </c>
      <c r="L2825" s="6">
        <f t="shared" si="459"/>
        <v>-0.99387144625888879</v>
      </c>
      <c r="M2825" s="6">
        <f t="shared" si="459"/>
        <v>-8.7784353479845617E-2</v>
      </c>
      <c r="N2825" s="6">
        <f t="shared" si="459"/>
        <v>-0.23979488967447088</v>
      </c>
      <c r="O2825" s="6">
        <f t="shared" si="459"/>
        <v>-0.20861988438572299</v>
      </c>
      <c r="P2825" s="6">
        <f t="shared" si="459"/>
        <v>-7.2976043189118947E-2</v>
      </c>
      <c r="Q2825" s="6">
        <f t="shared" si="459"/>
        <v>0</v>
      </c>
      <c r="R2825" s="6">
        <f t="shared" si="459"/>
        <v>0</v>
      </c>
      <c r="S2825" s="6">
        <f t="shared" si="459"/>
        <v>0</v>
      </c>
      <c r="T2825" s="10"/>
    </row>
    <row r="2827" spans="1:20" ht="21" customHeight="1">
      <c r="A2827" s="1" t="s">
        <v>1619</v>
      </c>
    </row>
    <row r="2828" spans="1:20">
      <c r="A2828" s="2" t="s">
        <v>255</v>
      </c>
    </row>
    <row r="2829" spans="1:20">
      <c r="A2829" s="12" t="s">
        <v>1698</v>
      </c>
    </row>
    <row r="2830" spans="1:20">
      <c r="A2830" s="12" t="s">
        <v>723</v>
      </c>
    </row>
    <row r="2831" spans="1:20">
      <c r="A2831" s="12" t="s">
        <v>546</v>
      </c>
    </row>
    <row r="2832" spans="1:20">
      <c r="A2832" s="12" t="s">
        <v>721</v>
      </c>
    </row>
    <row r="2833" spans="1:20">
      <c r="A2833" s="12" t="s">
        <v>525</v>
      </c>
    </row>
    <row r="2834" spans="1:20">
      <c r="A2834" s="2" t="s">
        <v>1617</v>
      </c>
    </row>
    <row r="2836" spans="1:20" ht="30">
      <c r="B2836" s="3" t="s">
        <v>60</v>
      </c>
      <c r="C2836" s="3" t="s">
        <v>220</v>
      </c>
      <c r="D2836" s="3" t="s">
        <v>221</v>
      </c>
      <c r="E2836" s="3" t="s">
        <v>222</v>
      </c>
      <c r="F2836" s="3" t="s">
        <v>223</v>
      </c>
      <c r="G2836" s="3" t="s">
        <v>224</v>
      </c>
      <c r="H2836" s="3" t="s">
        <v>225</v>
      </c>
      <c r="I2836" s="3" t="s">
        <v>226</v>
      </c>
      <c r="J2836" s="3" t="s">
        <v>227</v>
      </c>
      <c r="K2836" s="3" t="s">
        <v>208</v>
      </c>
      <c r="L2836" s="3" t="s">
        <v>624</v>
      </c>
      <c r="M2836" s="3" t="s">
        <v>625</v>
      </c>
      <c r="N2836" s="3" t="s">
        <v>626</v>
      </c>
      <c r="O2836" s="3" t="s">
        <v>627</v>
      </c>
      <c r="P2836" s="3" t="s">
        <v>628</v>
      </c>
      <c r="Q2836" s="3" t="s">
        <v>629</v>
      </c>
      <c r="R2836" s="3" t="s">
        <v>630</v>
      </c>
      <c r="S2836" s="3" t="s">
        <v>631</v>
      </c>
    </row>
    <row r="2837" spans="1:20">
      <c r="A2837" s="11" t="s">
        <v>93</v>
      </c>
      <c r="B2837" s="6">
        <f t="shared" ref="B2837:J2837" si="460">B2069*B$2754*B$571*(1-B$2717)*100/(24*$F$14)</f>
        <v>0</v>
      </c>
      <c r="C2837" s="6">
        <f t="shared" si="460"/>
        <v>5.371480755747457E-2</v>
      </c>
      <c r="D2837" s="6">
        <f t="shared" si="460"/>
        <v>4.7443959392097865E-3</v>
      </c>
      <c r="E2837" s="6">
        <f t="shared" si="460"/>
        <v>1.1375076722015086E-2</v>
      </c>
      <c r="F2837" s="6">
        <f t="shared" si="460"/>
        <v>2.4740593865939233E-3</v>
      </c>
      <c r="G2837" s="6">
        <f t="shared" si="460"/>
        <v>9.8601638344794564E-4</v>
      </c>
      <c r="H2837" s="6">
        <f t="shared" si="460"/>
        <v>1.1934207015460047E-2</v>
      </c>
      <c r="I2837" s="6">
        <f t="shared" si="460"/>
        <v>9.2211204355104211E-4</v>
      </c>
      <c r="J2837" s="6">
        <f t="shared" si="460"/>
        <v>1.8991327257110459E-3</v>
      </c>
      <c r="K2837" s="6">
        <f t="shared" ref="K2837:S2837" si="461">B2069*K$2754*B$571*(1-K$2717)*100/(24*$F$14)</f>
        <v>4.7010548778710541E-3</v>
      </c>
      <c r="L2837" s="6">
        <f t="shared" si="461"/>
        <v>2.8220128508735936E-2</v>
      </c>
      <c r="M2837" s="6">
        <f t="shared" si="461"/>
        <v>2.4925615335690482E-3</v>
      </c>
      <c r="N2837" s="6">
        <f t="shared" si="461"/>
        <v>5.9761198352711519E-3</v>
      </c>
      <c r="O2837" s="6">
        <f t="shared" si="461"/>
        <v>5.1991826464774906E-3</v>
      </c>
      <c r="P2837" s="6">
        <f t="shared" si="461"/>
        <v>2.0720922455393278E-3</v>
      </c>
      <c r="Q2837" s="6">
        <f t="shared" si="461"/>
        <v>2.5079479640006723E-2</v>
      </c>
      <c r="R2837" s="6">
        <f t="shared" si="461"/>
        <v>9.6889932410611241E-3</v>
      </c>
      <c r="S2837" s="6">
        <f t="shared" si="461"/>
        <v>1.9954933103824898E-2</v>
      </c>
      <c r="T2837" s="10"/>
    </row>
    <row r="2838" spans="1:20">
      <c r="A2838" s="11" t="s">
        <v>95</v>
      </c>
      <c r="B2838" s="6">
        <f t="shared" ref="B2838:J2838" si="462">B2070*B$2754*B$574*(1-B$2720)*100/(24*$F$14)</f>
        <v>0</v>
      </c>
      <c r="C2838" s="6">
        <f t="shared" si="462"/>
        <v>6.3283421526791173E-2</v>
      </c>
      <c r="D2838" s="6">
        <f t="shared" si="462"/>
        <v>5.5895501029162645E-3</v>
      </c>
      <c r="E2838" s="6">
        <f t="shared" si="462"/>
        <v>1.4061164950729609E-2</v>
      </c>
      <c r="F2838" s="6">
        <f t="shared" si="462"/>
        <v>3.0582789007013722E-3</v>
      </c>
      <c r="G2838" s="6">
        <f t="shared" si="462"/>
        <v>1.1616627381433407E-3</v>
      </c>
      <c r="H2838" s="6">
        <f t="shared" si="462"/>
        <v>1.4752327171188609E-2</v>
      </c>
      <c r="I2838" s="6">
        <f t="shared" si="462"/>
        <v>1.1398577666145758E-3</v>
      </c>
      <c r="J2838" s="6">
        <f t="shared" si="462"/>
        <v>2.3475901896880696E-3</v>
      </c>
      <c r="K2838" s="6">
        <f t="shared" ref="K2838:S2838" si="463">B2070*K$2754*B$574*(1-K$2720)*100/(24*$F$14)</f>
        <v>7.5870275486639186E-3</v>
      </c>
      <c r="L2838" s="6">
        <f t="shared" si="463"/>
        <v>3.3247187678140437E-2</v>
      </c>
      <c r="M2838" s="6">
        <f t="shared" si="463"/>
        <v>2.9365798628532094E-3</v>
      </c>
      <c r="N2838" s="6">
        <f t="shared" si="463"/>
        <v>7.3873090109750619E-3</v>
      </c>
      <c r="O2838" s="6">
        <f t="shared" si="463"/>
        <v>6.4269074035871766E-3</v>
      </c>
      <c r="P2838" s="6">
        <f t="shared" si="463"/>
        <v>2.4412092862206225E-3</v>
      </c>
      <c r="Q2838" s="6">
        <f t="shared" si="463"/>
        <v>3.1001698600774636E-2</v>
      </c>
      <c r="R2838" s="6">
        <f t="shared" si="463"/>
        <v>1.1976933035132106E-2</v>
      </c>
      <c r="S2838" s="6">
        <f t="shared" si="463"/>
        <v>2.4667051731669585E-2</v>
      </c>
      <c r="T2838" s="10"/>
    </row>
    <row r="2839" spans="1:20">
      <c r="A2839" s="11" t="s">
        <v>96</v>
      </c>
      <c r="B2839" s="6">
        <f t="shared" ref="B2839:J2839" si="464">B2071*B$2754*B$576*(1-B$2722)*100/(24*$F$14)</f>
        <v>0</v>
      </c>
      <c r="C2839" s="6">
        <f t="shared" si="464"/>
        <v>4.8403886345221157E-2</v>
      </c>
      <c r="D2839" s="6">
        <f t="shared" si="464"/>
        <v>4.27530530706115E-3</v>
      </c>
      <c r="E2839" s="6">
        <f t="shared" si="464"/>
        <v>9.5020565649254797E-3</v>
      </c>
      <c r="F2839" s="6">
        <f t="shared" si="464"/>
        <v>2.0666807627681438E-3</v>
      </c>
      <c r="G2839" s="6">
        <f t="shared" si="464"/>
        <v>8.8852640694789254E-4</v>
      </c>
      <c r="H2839" s="6">
        <f t="shared" si="464"/>
        <v>9.9691204630700057E-3</v>
      </c>
      <c r="I2839" s="6">
        <f t="shared" si="464"/>
        <v>7.7027707251093192E-4</v>
      </c>
      <c r="J2839" s="6">
        <f t="shared" si="464"/>
        <v>1.5864215270814178E-3</v>
      </c>
      <c r="K2839" s="6">
        <f t="shared" ref="K2839:S2839" si="465">B2071*K$2754*B$576*(1-K$2722)*100/(24*$F$14)</f>
        <v>1.9126978028564704E-3</v>
      </c>
      <c r="L2839" s="6">
        <f t="shared" si="465"/>
        <v>2.5429931802749467E-2</v>
      </c>
      <c r="M2839" s="6">
        <f t="shared" si="465"/>
        <v>2.2461155622730635E-3</v>
      </c>
      <c r="N2839" s="6">
        <f t="shared" si="465"/>
        <v>4.9920919305641515E-3</v>
      </c>
      <c r="O2839" s="6">
        <f t="shared" si="465"/>
        <v>4.3430852209194052E-3</v>
      </c>
      <c r="P2839" s="6">
        <f t="shared" si="465"/>
        <v>1.8672191544683865E-3</v>
      </c>
      <c r="Q2839" s="6">
        <f t="shared" si="465"/>
        <v>2.09498924694747E-2</v>
      </c>
      <c r="R2839" s="6">
        <f t="shared" si="465"/>
        <v>8.0936035935091407E-3</v>
      </c>
      <c r="S2839" s="6">
        <f t="shared" si="465"/>
        <v>1.6669153776771924E-2</v>
      </c>
      <c r="T2839" s="10"/>
    </row>
    <row r="2840" spans="1:20">
      <c r="A2840" s="11" t="s">
        <v>97</v>
      </c>
      <c r="B2840" s="6">
        <f t="shared" ref="B2840:J2840" si="466">B2072*B$2754*B$577*(1-B$2723)*100/(24*$F$14)</f>
        <v>0</v>
      </c>
      <c r="C2840" s="6">
        <f t="shared" si="466"/>
        <v>4.816994512666354E-2</v>
      </c>
      <c r="D2840" s="6">
        <f t="shared" si="466"/>
        <v>4.2546422940521024E-3</v>
      </c>
      <c r="E2840" s="6">
        <f t="shared" si="466"/>
        <v>9.4026015059807816E-3</v>
      </c>
      <c r="F2840" s="6">
        <f t="shared" si="466"/>
        <v>2.0450494605677673E-3</v>
      </c>
      <c r="G2840" s="6">
        <f t="shared" si="466"/>
        <v>8.842320627111608E-4</v>
      </c>
      <c r="H2840" s="6">
        <f t="shared" si="466"/>
        <v>9.8647767921492043E-3</v>
      </c>
      <c r="I2840" s="6">
        <f t="shared" si="466"/>
        <v>7.6221482292034308E-4</v>
      </c>
      <c r="J2840" s="6">
        <f t="shared" si="466"/>
        <v>0</v>
      </c>
      <c r="K2840" s="6">
        <f t="shared" ref="K2840:S2840" si="467">B2072*K$2754*B$577*(1-K$2723)*100/(24*$F$14)</f>
        <v>1.737243535126674E-3</v>
      </c>
      <c r="L2840" s="6">
        <f t="shared" si="467"/>
        <v>2.5307026191589591E-2</v>
      </c>
      <c r="M2840" s="6">
        <f t="shared" si="467"/>
        <v>2.2352598427981484E-3</v>
      </c>
      <c r="N2840" s="6">
        <f t="shared" si="467"/>
        <v>4.9398412631618668E-3</v>
      </c>
      <c r="O2840" s="6">
        <f t="shared" si="467"/>
        <v>4.2976275040875799E-3</v>
      </c>
      <c r="P2840" s="6">
        <f t="shared" si="467"/>
        <v>1.8581946823176371E-3</v>
      </c>
      <c r="Q2840" s="6">
        <f t="shared" si="467"/>
        <v>2.0730616486828193E-2</v>
      </c>
      <c r="R2840" s="6">
        <f t="shared" si="467"/>
        <v>8.0088903720115165E-3</v>
      </c>
      <c r="S2840" s="6">
        <f t="shared" si="467"/>
        <v>0</v>
      </c>
      <c r="T2840" s="10"/>
    </row>
    <row r="2841" spans="1:20">
      <c r="A2841" s="11" t="s">
        <v>110</v>
      </c>
      <c r="B2841" s="6">
        <f t="shared" ref="B2841:J2841" si="468">B2073*B$2754*B$578*(1-B$2724)*100/(24*$F$14)</f>
        <v>0</v>
      </c>
      <c r="C2841" s="6">
        <f t="shared" si="468"/>
        <v>4.4210451274442952E-2</v>
      </c>
      <c r="D2841" s="6">
        <f t="shared" si="468"/>
        <v>2.4991471220390418E-3</v>
      </c>
      <c r="E2841" s="6">
        <f t="shared" si="468"/>
        <v>5.5396805540078474E-3</v>
      </c>
      <c r="F2841" s="6">
        <f t="shared" si="468"/>
        <v>6.777398686773602E-4</v>
      </c>
      <c r="G2841" s="6">
        <f t="shared" si="468"/>
        <v>2.9215784721280775E-4</v>
      </c>
      <c r="H2841" s="6">
        <f t="shared" si="468"/>
        <v>3.2692375693380571E-3</v>
      </c>
      <c r="I2841" s="6">
        <f t="shared" si="468"/>
        <v>0</v>
      </c>
      <c r="J2841" s="6">
        <f t="shared" si="468"/>
        <v>0</v>
      </c>
      <c r="K2841" s="6">
        <f t="shared" ref="K2841:S2841" si="469">B2073*K$2754*B$578*(1-K$2724)*100/(24*$F$14)</f>
        <v>1.6752619353919236E-3</v>
      </c>
      <c r="L2841" s="6">
        <f t="shared" si="469"/>
        <v>2.3226828376123977E-2</v>
      </c>
      <c r="M2841" s="6">
        <f t="shared" si="469"/>
        <v>2.0515249935596381E-3</v>
      </c>
      <c r="N2841" s="6">
        <f t="shared" si="469"/>
        <v>4.5474686194588347E-3</v>
      </c>
      <c r="O2841" s="6">
        <f t="shared" si="469"/>
        <v>3.9562660360572552E-3</v>
      </c>
      <c r="P2841" s="6">
        <f t="shared" si="469"/>
        <v>1.7054539971970916E-3</v>
      </c>
      <c r="Q2841" s="6">
        <f t="shared" si="469"/>
        <v>1.90839792037257E-2</v>
      </c>
      <c r="R2841" s="6">
        <f t="shared" si="469"/>
        <v>0</v>
      </c>
      <c r="S2841" s="6">
        <f t="shared" si="469"/>
        <v>0</v>
      </c>
      <c r="T2841" s="10"/>
    </row>
    <row r="2842" spans="1:20">
      <c r="A2842" s="11" t="s">
        <v>1647</v>
      </c>
      <c r="B2842" s="6">
        <f t="shared" ref="B2842:J2842" si="470">B2074*B$2754*B$579*(1-B$2725)*100/(24*$F$14)</f>
        <v>0</v>
      </c>
      <c r="C2842" s="6">
        <f t="shared" si="470"/>
        <v>0.23820498915608751</v>
      </c>
      <c r="D2842" s="6">
        <f t="shared" si="470"/>
        <v>2.1039613369970848E-2</v>
      </c>
      <c r="E2842" s="6">
        <f t="shared" si="470"/>
        <v>7.7199616858126013E-2</v>
      </c>
      <c r="F2842" s="6">
        <f t="shared" si="470"/>
        <v>1.6790782286298832E-2</v>
      </c>
      <c r="G2842" s="6">
        <f t="shared" si="470"/>
        <v>4.3726121828813877E-3</v>
      </c>
      <c r="H2842" s="6">
        <f t="shared" si="470"/>
        <v>8.0994285279498743E-2</v>
      </c>
      <c r="I2842" s="6">
        <f t="shared" si="470"/>
        <v>6.2581289077928426E-3</v>
      </c>
      <c r="J2842" s="6">
        <f t="shared" si="470"/>
        <v>1.2888908125241108E-2</v>
      </c>
      <c r="K2842" s="6">
        <f t="shared" ref="K2842:S2842" si="471">B2074*K$2754*B$579*(1-K$2725)*100/(24*$F$14)</f>
        <v>0.10033361820072305</v>
      </c>
      <c r="L2842" s="6">
        <f t="shared" si="471"/>
        <v>0.12514566673657254</v>
      </c>
      <c r="M2842" s="6">
        <f t="shared" si="471"/>
        <v>1.105357386674795E-2</v>
      </c>
      <c r="N2842" s="6">
        <f t="shared" si="471"/>
        <v>4.0558334053983555E-2</v>
      </c>
      <c r="O2842" s="6">
        <f t="shared" si="471"/>
        <v>3.5285468229560801E-2</v>
      </c>
      <c r="P2842" s="6">
        <f t="shared" si="471"/>
        <v>9.1889505580184348E-3</v>
      </c>
      <c r="Q2842" s="6">
        <f t="shared" si="471"/>
        <v>0.17020775037609662</v>
      </c>
      <c r="R2842" s="6">
        <f t="shared" si="471"/>
        <v>6.5756617228194494E-2</v>
      </c>
      <c r="S2842" s="6">
        <f t="shared" si="471"/>
        <v>0.13542881755367331</v>
      </c>
      <c r="T2842" s="10"/>
    </row>
    <row r="2843" spans="1:20">
      <c r="A2843" s="11" t="s">
        <v>1646</v>
      </c>
      <c r="B2843" s="6">
        <f t="shared" ref="B2843:J2843" si="472">B2075*B$2754*B$580*(1-B$2726)*100/(24*$F$14)</f>
        <v>0</v>
      </c>
      <c r="C2843" s="6">
        <f t="shared" si="472"/>
        <v>0.2412308052001545</v>
      </c>
      <c r="D2843" s="6">
        <f t="shared" si="472"/>
        <v>2.1306870575293728E-2</v>
      </c>
      <c r="E2843" s="6">
        <f t="shared" si="472"/>
        <v>7.5886767598630139E-2</v>
      </c>
      <c r="F2843" s="6">
        <f t="shared" si="472"/>
        <v>1.6505239857617683E-2</v>
      </c>
      <c r="G2843" s="6">
        <f t="shared" si="472"/>
        <v>4.4281556043030768E-3</v>
      </c>
      <c r="H2843" s="6">
        <f t="shared" si="472"/>
        <v>7.961690425378716E-2</v>
      </c>
      <c r="I2843" s="6">
        <f t="shared" si="472"/>
        <v>6.1517037694722157E-3</v>
      </c>
      <c r="J2843" s="6">
        <f t="shared" si="472"/>
        <v>1.2669720593274078E-2</v>
      </c>
      <c r="K2843" s="6">
        <f t="shared" ref="K2843:S2843" si="473">B2075*K$2754*B$580*(1-K$2726)*100/(24*$F$14)</f>
        <v>0.10059899395696414</v>
      </c>
      <c r="L2843" s="6">
        <f t="shared" si="473"/>
        <v>0.12673533858852881</v>
      </c>
      <c r="M2843" s="6">
        <f t="shared" si="473"/>
        <v>1.119398268550854E-2</v>
      </c>
      <c r="N2843" s="6">
        <f t="shared" si="473"/>
        <v>3.9868602925822477E-2</v>
      </c>
      <c r="O2843" s="6">
        <f t="shared" si="473"/>
        <v>3.468540695048377E-2</v>
      </c>
      <c r="P2843" s="6">
        <f t="shared" si="473"/>
        <v>9.3056738648017844E-3</v>
      </c>
      <c r="Q2843" s="6">
        <f t="shared" si="473"/>
        <v>0.16731321374319627</v>
      </c>
      <c r="R2843" s="6">
        <f t="shared" si="473"/>
        <v>6.4638366519856924E-2</v>
      </c>
      <c r="S2843" s="6">
        <f t="shared" si="473"/>
        <v>0.13312572810743306</v>
      </c>
      <c r="T2843" s="10"/>
    </row>
    <row r="2844" spans="1:20">
      <c r="A2844" s="11" t="s">
        <v>98</v>
      </c>
      <c r="B2844" s="6">
        <f t="shared" ref="B2844:J2844" si="474">B2076*B$2754*B$581*(1-B$2727)*100/(24*$F$14)</f>
        <v>0</v>
      </c>
      <c r="C2844" s="6">
        <f t="shared" si="474"/>
        <v>0.19404304239888007</v>
      </c>
      <c r="D2844" s="6">
        <f t="shared" si="474"/>
        <v>1.7138980185381913E-2</v>
      </c>
      <c r="E2844" s="6">
        <f t="shared" si="474"/>
        <v>6.2481891630174244E-2</v>
      </c>
      <c r="F2844" s="6">
        <f t="shared" si="474"/>
        <v>1.3589702668167366E-2</v>
      </c>
      <c r="G2844" s="6">
        <f t="shared" si="474"/>
        <v>3.5619529809291124E-3</v>
      </c>
      <c r="H2844" s="6">
        <f t="shared" si="474"/>
        <v>6.5553125280366886E-2</v>
      </c>
      <c r="I2844" s="6">
        <f t="shared" si="474"/>
        <v>5.0650475758574256E-3</v>
      </c>
      <c r="J2844" s="6">
        <f t="shared" si="474"/>
        <v>1.0431701522464478E-2</v>
      </c>
      <c r="K2844" s="6">
        <f t="shared" ref="K2844:S2844" si="475">B2076*K$2754*B$581*(1-K$2727)*100/(24*$F$14)</f>
        <v>8.3396703534292169E-2</v>
      </c>
      <c r="L2844" s="6">
        <f t="shared" si="475"/>
        <v>0.10194432116066481</v>
      </c>
      <c r="M2844" s="6">
        <f t="shared" si="475"/>
        <v>9.0042996583882054E-3</v>
      </c>
      <c r="N2844" s="6">
        <f t="shared" si="475"/>
        <v>3.2826088213864769E-2</v>
      </c>
      <c r="O2844" s="6">
        <f t="shared" si="475"/>
        <v>2.855846818632634E-2</v>
      </c>
      <c r="P2844" s="6">
        <f t="shared" si="475"/>
        <v>7.4853676618939786E-3</v>
      </c>
      <c r="Q2844" s="6">
        <f t="shared" si="475"/>
        <v>0.1377584843867731</v>
      </c>
      <c r="R2844" s="6">
        <f t="shared" si="475"/>
        <v>5.3220443297918092E-2</v>
      </c>
      <c r="S2844" s="6">
        <f t="shared" si="475"/>
        <v>0.10960998313686014</v>
      </c>
      <c r="T2844" s="10"/>
    </row>
    <row r="2845" spans="1:20">
      <c r="A2845" s="11" t="s">
        <v>99</v>
      </c>
      <c r="B2845" s="6">
        <f t="shared" ref="B2845:J2845" si="476">B2077*B$2754*B$582*(1-B$2728)*100/(24*$F$14)</f>
        <v>0</v>
      </c>
      <c r="C2845" s="6">
        <f t="shared" si="476"/>
        <v>0.17194547403256599</v>
      </c>
      <c r="D2845" s="6">
        <f t="shared" si="476"/>
        <v>1.5187197829811275E-2</v>
      </c>
      <c r="E2845" s="6">
        <f t="shared" si="476"/>
        <v>5.5366470974605446E-2</v>
      </c>
      <c r="F2845" s="6">
        <f t="shared" si="476"/>
        <v>1.2042111061298998E-2</v>
      </c>
      <c r="G2845" s="6">
        <f t="shared" si="476"/>
        <v>3.156318753900874E-3</v>
      </c>
      <c r="H2845" s="6">
        <f t="shared" si="476"/>
        <v>5.8087953380357424E-2</v>
      </c>
      <c r="I2845" s="6">
        <f t="shared" si="476"/>
        <v>4.4882413492468021E-3</v>
      </c>
      <c r="J2845" s="6">
        <f t="shared" si="476"/>
        <v>0</v>
      </c>
      <c r="K2845" s="6">
        <f t="shared" ref="K2845:S2845" si="477">B2077*K$2754*B$582*(1-K$2728)*100/(24*$F$14)</f>
        <v>7.3899509844213812E-2</v>
      </c>
      <c r="L2845" s="6">
        <f t="shared" si="477"/>
        <v>9.033492987017723E-2</v>
      </c>
      <c r="M2845" s="6">
        <f t="shared" si="477"/>
        <v>7.9788924866999907E-3</v>
      </c>
      <c r="N2845" s="6">
        <f t="shared" si="477"/>
        <v>2.9087862305133497E-2</v>
      </c>
      <c r="O2845" s="6">
        <f t="shared" si="477"/>
        <v>2.5306237674050092E-2</v>
      </c>
      <c r="P2845" s="6">
        <f t="shared" si="477"/>
        <v>6.6329360487280675E-3</v>
      </c>
      <c r="Q2845" s="6">
        <f t="shared" si="477"/>
        <v>0.12207058602596021</v>
      </c>
      <c r="R2845" s="6">
        <f t="shared" si="477"/>
        <v>4.7159713834380904E-2</v>
      </c>
      <c r="S2845" s="6">
        <f t="shared" si="477"/>
        <v>0</v>
      </c>
      <c r="T2845" s="10"/>
    </row>
    <row r="2846" spans="1:20">
      <c r="A2846" s="11" t="s">
        <v>111</v>
      </c>
      <c r="B2846" s="6">
        <f t="shared" ref="B2846:J2846" si="478">B2078*B$2754*B$583*(1-B$2729)*100/(24*$F$14)</f>
        <v>0</v>
      </c>
      <c r="C2846" s="6">
        <f t="shared" si="478"/>
        <v>0.17490971657576196</v>
      </c>
      <c r="D2846" s="6">
        <f t="shared" si="478"/>
        <v>9.8873705695393353E-3</v>
      </c>
      <c r="E2846" s="6">
        <f t="shared" si="478"/>
        <v>3.6045412839688443E-2</v>
      </c>
      <c r="F2846" s="6">
        <f t="shared" si="478"/>
        <v>4.409895683735318E-3</v>
      </c>
      <c r="G2846" s="6">
        <f t="shared" si="478"/>
        <v>1.1558634842733994E-3</v>
      </c>
      <c r="H2846" s="6">
        <f t="shared" si="478"/>
        <v>2.1272168441653957E-2</v>
      </c>
      <c r="I2846" s="6">
        <f t="shared" si="478"/>
        <v>0</v>
      </c>
      <c r="J2846" s="6">
        <f t="shared" si="478"/>
        <v>0</v>
      </c>
      <c r="K2846" s="6">
        <f t="shared" ref="K2846:S2846" si="479">B2078*K$2754*B$583*(1-K$2729)*100/(24*$F$14)</f>
        <v>7.5173495520394262E-2</v>
      </c>
      <c r="L2846" s="6">
        <f t="shared" si="479"/>
        <v>9.18922528748356E-2</v>
      </c>
      <c r="M2846" s="6">
        <f t="shared" si="479"/>
        <v>8.1164440721065555E-3</v>
      </c>
      <c r="N2846" s="6">
        <f t="shared" si="479"/>
        <v>2.9589320569275851E-2</v>
      </c>
      <c r="O2846" s="6">
        <f t="shared" si="479"/>
        <v>2.5742502872327083E-2</v>
      </c>
      <c r="P2846" s="6">
        <f t="shared" si="479"/>
        <v>6.7472841078006452E-3</v>
      </c>
      <c r="Q2846" s="6">
        <f t="shared" si="479"/>
        <v>0.12417501376043195</v>
      </c>
      <c r="R2846" s="6">
        <f t="shared" si="479"/>
        <v>0</v>
      </c>
      <c r="S2846" s="6">
        <f t="shared" si="479"/>
        <v>0</v>
      </c>
      <c r="T2846" s="10"/>
    </row>
    <row r="2847" spans="1:20">
      <c r="A2847" s="11" t="s">
        <v>135</v>
      </c>
      <c r="B2847" s="6">
        <f t="shared" ref="B2847:J2847" si="480">B2079*B$2754*B$588*(1-B$2734)*100/(24*$F$14)</f>
        <v>0</v>
      </c>
      <c r="C2847" s="6">
        <f t="shared" si="480"/>
        <v>0.18156107326586174</v>
      </c>
      <c r="D2847" s="6">
        <f t="shared" si="480"/>
        <v>1.6036501998065136E-2</v>
      </c>
      <c r="E2847" s="6">
        <f t="shared" si="480"/>
        <v>5.5418312163598819E-2</v>
      </c>
      <c r="F2847" s="6">
        <f t="shared" si="480"/>
        <v>1.2053386429665787E-2</v>
      </c>
      <c r="G2847" s="6">
        <f t="shared" si="480"/>
        <v>3.3328275940480603E-3</v>
      </c>
      <c r="H2847" s="6">
        <f t="shared" si="480"/>
        <v>5.8142342770116637E-2</v>
      </c>
      <c r="I2847" s="6">
        <f t="shared" si="480"/>
        <v>4.4924438162622805E-3</v>
      </c>
      <c r="J2847" s="6">
        <f t="shared" si="480"/>
        <v>9.2523973952517331E-3</v>
      </c>
      <c r="K2847" s="6">
        <f t="shared" ref="K2847:S2847" si="481">B2079*K$2754*B$588*(1-K$2734)*100/(24*$F$14)</f>
        <v>0.10801494170431458</v>
      </c>
      <c r="L2847" s="6">
        <f t="shared" si="481"/>
        <v>9.5386673670278574E-2</v>
      </c>
      <c r="M2847" s="6">
        <f t="shared" si="481"/>
        <v>8.4250911023328236E-3</v>
      </c>
      <c r="N2847" s="6">
        <f t="shared" si="481"/>
        <v>2.9115098091352654E-2</v>
      </c>
      <c r="O2847" s="6">
        <f t="shared" si="481"/>
        <v>2.5329932618424877E-2</v>
      </c>
      <c r="P2847" s="6">
        <f t="shared" si="481"/>
        <v>7.0038655840560507E-3</v>
      </c>
      <c r="Q2847" s="6">
        <f t="shared" si="481"/>
        <v>0.12218488415999888</v>
      </c>
      <c r="R2847" s="6">
        <f t="shared" si="481"/>
        <v>4.7203870805102098E-2</v>
      </c>
      <c r="S2847" s="6">
        <f t="shared" si="481"/>
        <v>9.721857170521099E-2</v>
      </c>
      <c r="T2847" s="10"/>
    </row>
    <row r="2848" spans="1:20">
      <c r="A2848" s="11" t="s">
        <v>102</v>
      </c>
      <c r="B2848" s="6">
        <f t="shared" ref="B2848:J2848" si="482">B2080*B$2754*B$592*(1-B$2738)*100/(24*$F$14)</f>
        <v>0</v>
      </c>
      <c r="C2848" s="6">
        <f t="shared" si="482"/>
        <v>-0.16644545311244391</v>
      </c>
      <c r="D2848" s="6">
        <f t="shared" si="482"/>
        <v>-1.4701404840772356E-2</v>
      </c>
      <c r="E2848" s="6">
        <f t="shared" si="482"/>
        <v>-5.3595463331938528E-2</v>
      </c>
      <c r="F2848" s="6">
        <f t="shared" si="482"/>
        <v>-1.1656919981788328E-2</v>
      </c>
      <c r="G2848" s="6">
        <f t="shared" si="482"/>
        <v>-3.0553575667879155E-3</v>
      </c>
      <c r="H2848" s="6">
        <f t="shared" si="482"/>
        <v>-5.622989366348155E-2</v>
      </c>
      <c r="I2848" s="6">
        <f t="shared" si="482"/>
        <v>-4.3446759460031041E-3</v>
      </c>
      <c r="J2848" s="6">
        <f t="shared" si="482"/>
        <v>0</v>
      </c>
      <c r="K2848" s="6">
        <f t="shared" ref="K2848:S2848" si="483">B2080*K$2754*B$592*(1-K$2738)*100/(24*$F$14)</f>
        <v>-7.1535685774887281E-2</v>
      </c>
      <c r="L2848" s="6">
        <f t="shared" si="483"/>
        <v>-8.7445385920857363E-2</v>
      </c>
      <c r="M2848" s="6">
        <f t="shared" si="483"/>
        <v>-7.7236716043640992E-3</v>
      </c>
      <c r="N2848" s="6">
        <f t="shared" si="483"/>
        <v>-2.8157428677263976E-2</v>
      </c>
      <c r="O2848" s="6">
        <f t="shared" si="483"/>
        <v>-2.4496766896177243E-2</v>
      </c>
      <c r="P2848" s="6">
        <f t="shared" si="483"/>
        <v>-6.4207682831320589E-3</v>
      </c>
      <c r="Q2848" s="6">
        <f t="shared" si="483"/>
        <v>-0.11816591345082064</v>
      </c>
      <c r="R2848" s="6">
        <f t="shared" si="483"/>
        <v>-4.5651215782103363E-2</v>
      </c>
      <c r="S2848" s="6">
        <f t="shared" si="483"/>
        <v>0</v>
      </c>
      <c r="T2848" s="10"/>
    </row>
    <row r="2849" spans="1:20">
      <c r="A2849" s="11" t="s">
        <v>104</v>
      </c>
      <c r="B2849" s="6">
        <f t="shared" ref="B2849:J2849" si="484">B2081*B$2754*B$594*(1-B$2740)*100/(24*$F$14)</f>
        <v>0</v>
      </c>
      <c r="C2849" s="6">
        <f t="shared" si="484"/>
        <v>-0.16322392821349344</v>
      </c>
      <c r="D2849" s="6">
        <f t="shared" si="484"/>
        <v>-1.4416861521273536E-2</v>
      </c>
      <c r="E2849" s="6">
        <f t="shared" si="484"/>
        <v>-5.2558131783578425E-2</v>
      </c>
      <c r="F2849" s="6">
        <f t="shared" si="484"/>
        <v>-1.1431302175689202E-2</v>
      </c>
      <c r="G2849" s="6">
        <f t="shared" si="484"/>
        <v>-2.9962216138823428E-3</v>
      </c>
      <c r="H2849" s="6">
        <f t="shared" si="484"/>
        <v>-5.5141573140962546E-2</v>
      </c>
      <c r="I2849" s="6">
        <f t="shared" si="484"/>
        <v>0</v>
      </c>
      <c r="J2849" s="6">
        <f t="shared" si="484"/>
        <v>0</v>
      </c>
      <c r="K2849" s="6">
        <f t="shared" ref="K2849:S2849" si="485">B2081*K$2754*B$594*(1-K$2740)*100/(24*$F$14)</f>
        <v>-7.0151124114728167E-2</v>
      </c>
      <c r="L2849" s="6">
        <f t="shared" si="485"/>
        <v>-8.5752894580453709E-2</v>
      </c>
      <c r="M2849" s="6">
        <f t="shared" si="485"/>
        <v>-7.574181186215119E-3</v>
      </c>
      <c r="N2849" s="6">
        <f t="shared" si="485"/>
        <v>-2.7612446186736292E-2</v>
      </c>
      <c r="O2849" s="6">
        <f t="shared" si="485"/>
        <v>-2.4022635923993174E-2</v>
      </c>
      <c r="P2849" s="6">
        <f t="shared" si="485"/>
        <v>-6.2964953486198266E-3</v>
      </c>
      <c r="Q2849" s="6">
        <f t="shared" si="485"/>
        <v>-0.11587883125499829</v>
      </c>
      <c r="R2849" s="6">
        <f t="shared" si="485"/>
        <v>0</v>
      </c>
      <c r="S2849" s="6">
        <f t="shared" si="485"/>
        <v>0</v>
      </c>
      <c r="T2849" s="10"/>
    </row>
    <row r="2850" spans="1:20">
      <c r="A2850" s="11" t="s">
        <v>113</v>
      </c>
      <c r="B2850" s="6">
        <f t="shared" ref="B2850:J2850" si="486">B2082*B$2754*B$596*(1-B$2742)*100/(24*$F$14)</f>
        <v>0</v>
      </c>
      <c r="C2850" s="6">
        <f t="shared" si="486"/>
        <v>-0.16014046866735507</v>
      </c>
      <c r="D2850" s="6">
        <f t="shared" si="486"/>
        <v>-9.052488265899215E-3</v>
      </c>
      <c r="E2850" s="6">
        <f t="shared" si="486"/>
        <v>-3.300176467300904E-2</v>
      </c>
      <c r="F2850" s="6">
        <f t="shared" si="486"/>
        <v>-4.0375273334893828E-3</v>
      </c>
      <c r="G2850" s="6">
        <f t="shared" si="486"/>
        <v>-1.0582632212250375E-3</v>
      </c>
      <c r="H2850" s="6">
        <f t="shared" si="486"/>
        <v>0</v>
      </c>
      <c r="I2850" s="6">
        <f t="shared" si="486"/>
        <v>0</v>
      </c>
      <c r="J2850" s="6">
        <f t="shared" si="486"/>
        <v>0</v>
      </c>
      <c r="K2850" s="6">
        <f t="shared" ref="K2850:S2850" si="487">B2082*K$2754*B$596*(1-K$2742)*100/(24*$F$14)</f>
        <v>-6.8825900811433013E-2</v>
      </c>
      <c r="L2850" s="6">
        <f t="shared" si="487"/>
        <v>-8.4132938583210179E-2</v>
      </c>
      <c r="M2850" s="6">
        <f t="shared" si="487"/>
        <v>-7.4310975002725198E-3</v>
      </c>
      <c r="N2850" s="6">
        <f t="shared" si="487"/>
        <v>-2.7090820088659789E-2</v>
      </c>
      <c r="O2850" s="6">
        <f t="shared" si="487"/>
        <v>-2.3568824850616985E-2</v>
      </c>
      <c r="P2850" s="6">
        <f t="shared" si="487"/>
        <v>-6.1775483970152598E-3</v>
      </c>
      <c r="Q2850" s="6">
        <f t="shared" si="487"/>
        <v>0</v>
      </c>
      <c r="R2850" s="6">
        <f t="shared" si="487"/>
        <v>0</v>
      </c>
      <c r="S2850" s="6">
        <f t="shared" si="487"/>
        <v>0</v>
      </c>
      <c r="T2850" s="10"/>
    </row>
    <row r="2852" spans="1:20" ht="21" customHeight="1">
      <c r="A2852" s="1" t="s">
        <v>1618</v>
      </c>
    </row>
    <row r="2853" spans="1:20">
      <c r="A2853" s="2" t="s">
        <v>255</v>
      </c>
    </row>
    <row r="2854" spans="1:20">
      <c r="A2854" s="12" t="s">
        <v>1697</v>
      </c>
    </row>
    <row r="2855" spans="1:20">
      <c r="A2855" s="12" t="s">
        <v>723</v>
      </c>
    </row>
    <row r="2856" spans="1:20">
      <c r="A2856" s="12" t="s">
        <v>546</v>
      </c>
    </row>
    <row r="2857" spans="1:20">
      <c r="A2857" s="12" t="s">
        <v>721</v>
      </c>
    </row>
    <row r="2858" spans="1:20">
      <c r="A2858" s="12" t="s">
        <v>525</v>
      </c>
    </row>
    <row r="2859" spans="1:20">
      <c r="A2859" s="2" t="s">
        <v>1617</v>
      </c>
    </row>
    <row r="2861" spans="1:20" ht="30">
      <c r="B2861" s="3" t="s">
        <v>60</v>
      </c>
      <c r="C2861" s="3" t="s">
        <v>220</v>
      </c>
      <c r="D2861" s="3" t="s">
        <v>221</v>
      </c>
      <c r="E2861" s="3" t="s">
        <v>222</v>
      </c>
      <c r="F2861" s="3" t="s">
        <v>223</v>
      </c>
      <c r="G2861" s="3" t="s">
        <v>224</v>
      </c>
      <c r="H2861" s="3" t="s">
        <v>225</v>
      </c>
      <c r="I2861" s="3" t="s">
        <v>226</v>
      </c>
      <c r="J2861" s="3" t="s">
        <v>227</v>
      </c>
      <c r="K2861" s="3" t="s">
        <v>208</v>
      </c>
      <c r="L2861" s="3" t="s">
        <v>624</v>
      </c>
      <c r="M2861" s="3" t="s">
        <v>625</v>
      </c>
      <c r="N2861" s="3" t="s">
        <v>626</v>
      </c>
      <c r="O2861" s="3" t="s">
        <v>627</v>
      </c>
      <c r="P2861" s="3" t="s">
        <v>628</v>
      </c>
      <c r="Q2861" s="3" t="s">
        <v>629</v>
      </c>
      <c r="R2861" s="3" t="s">
        <v>630</v>
      </c>
      <c r="S2861" s="3" t="s">
        <v>631</v>
      </c>
    </row>
    <row r="2862" spans="1:20">
      <c r="A2862" s="11" t="s">
        <v>1647</v>
      </c>
      <c r="B2862" s="6">
        <f t="shared" ref="B2862:J2862" si="488">B2091*B$2754*B$579*(1-B$2725)*100/(24*$F$14)</f>
        <v>0</v>
      </c>
      <c r="C2862" s="6">
        <f t="shared" si="488"/>
        <v>5.1304994057376152E-2</v>
      </c>
      <c r="D2862" s="6">
        <f t="shared" si="488"/>
        <v>4.5315475664052035E-3</v>
      </c>
      <c r="E2862" s="6">
        <f t="shared" si="488"/>
        <v>9.981506968293332E-3</v>
      </c>
      <c r="F2862" s="6">
        <f t="shared" si="488"/>
        <v>2.1709603909277277E-3</v>
      </c>
      <c r="G2862" s="6">
        <f t="shared" si="488"/>
        <v>9.4178061867100529E-4</v>
      </c>
      <c r="H2862" s="6">
        <f t="shared" si="488"/>
        <v>1.0472137761965561E-2</v>
      </c>
      <c r="I2862" s="6">
        <f t="shared" si="488"/>
        <v>8.0914335904553269E-4</v>
      </c>
      <c r="J2862" s="6">
        <f t="shared" si="488"/>
        <v>1.6664684554356687E-3</v>
      </c>
      <c r="K2862" s="6">
        <f t="shared" ref="K2862:S2862" si="489">B2091*K$2754*B$579*(1-K$2725)*100/(24*$F$14)</f>
        <v>1.5170601543825545E-3</v>
      </c>
      <c r="L2862" s="6">
        <f t="shared" si="489"/>
        <v>2.6954085684658072E-2</v>
      </c>
      <c r="M2862" s="6">
        <f t="shared" si="489"/>
        <v>2.3807374629532569E-3</v>
      </c>
      <c r="N2862" s="6">
        <f t="shared" si="489"/>
        <v>5.2439806110202592E-3</v>
      </c>
      <c r="O2862" s="6">
        <f t="shared" si="489"/>
        <v>4.5622266190791516E-3</v>
      </c>
      <c r="P2862" s="6">
        <f t="shared" si="489"/>
        <v>1.9791317362531872E-3</v>
      </c>
      <c r="Q2862" s="6">
        <f t="shared" si="489"/>
        <v>2.2006972515922679E-2</v>
      </c>
      <c r="R2862" s="6">
        <f t="shared" si="489"/>
        <v>8.5019869241168833E-3</v>
      </c>
      <c r="S2862" s="6">
        <f t="shared" si="489"/>
        <v>1.7510238277528806E-2</v>
      </c>
      <c r="T2862" s="10"/>
    </row>
    <row r="2863" spans="1:20">
      <c r="A2863" s="11" t="s">
        <v>1646</v>
      </c>
      <c r="B2863" s="6">
        <f t="shared" ref="B2863:J2863" si="490">B2092*B$2754*B$580*(1-B$2726)*100/(24*$F$14)</f>
        <v>0</v>
      </c>
      <c r="C2863" s="6">
        <f t="shared" si="490"/>
        <v>5.1956699442345426E-2</v>
      </c>
      <c r="D2863" s="6">
        <f t="shared" si="490"/>
        <v>4.5891098759918278E-3</v>
      </c>
      <c r="E2863" s="6">
        <f t="shared" si="490"/>
        <v>9.8117624207775186E-3</v>
      </c>
      <c r="F2863" s="6">
        <f t="shared" si="490"/>
        <v>2.1340412473151082E-3</v>
      </c>
      <c r="G2863" s="6">
        <f t="shared" si="490"/>
        <v>9.5374365486122867E-4</v>
      </c>
      <c r="H2863" s="6">
        <f t="shared" si="490"/>
        <v>1.029404959435974E-2</v>
      </c>
      <c r="I2863" s="6">
        <f t="shared" si="490"/>
        <v>7.9538314490222725E-4</v>
      </c>
      <c r="J2863" s="6">
        <f t="shared" si="490"/>
        <v>1.6381286531577297E-3</v>
      </c>
      <c r="K2863" s="6">
        <f t="shared" ref="K2863:S2863" si="491">B2092*K$2754*B$580*(1-K$2726)*100/(24*$F$14)</f>
        <v>1.5210726777316788E-3</v>
      </c>
      <c r="L2863" s="6">
        <f t="shared" si="491"/>
        <v>2.7296471900860923E-2</v>
      </c>
      <c r="M2863" s="6">
        <f t="shared" si="491"/>
        <v>2.4109789521749411E-3</v>
      </c>
      <c r="N2863" s="6">
        <f t="shared" si="491"/>
        <v>5.1548019810972534E-3</v>
      </c>
      <c r="O2863" s="6">
        <f t="shared" si="491"/>
        <v>4.4846418319743437E-3</v>
      </c>
      <c r="P2863" s="6">
        <f t="shared" si="491"/>
        <v>2.0042717997845721E-3</v>
      </c>
      <c r="Q2863" s="6">
        <f t="shared" si="491"/>
        <v>2.1632724057871765E-2</v>
      </c>
      <c r="R2863" s="6">
        <f t="shared" si="491"/>
        <v>8.3574029521771894E-3</v>
      </c>
      <c r="S2863" s="6">
        <f t="shared" si="491"/>
        <v>1.7212460849455598E-2</v>
      </c>
      <c r="T2863" s="10"/>
    </row>
    <row r="2864" spans="1:20">
      <c r="A2864" s="11" t="s">
        <v>98</v>
      </c>
      <c r="B2864" s="6">
        <f t="shared" ref="B2864:J2864" si="492">B2093*B$2754*B$581*(1-B$2727)*100/(24*$F$14)</f>
        <v>0</v>
      </c>
      <c r="C2864" s="6">
        <f t="shared" si="492"/>
        <v>4.1793319159349397E-2</v>
      </c>
      <c r="D2864" s="6">
        <f t="shared" si="492"/>
        <v>3.6914225838667112E-3</v>
      </c>
      <c r="E2864" s="6">
        <f t="shared" si="492"/>
        <v>8.0785820199713414E-3</v>
      </c>
      <c r="F2864" s="6">
        <f t="shared" si="492"/>
        <v>1.7570775270637758E-3</v>
      </c>
      <c r="G2864" s="6">
        <f t="shared" si="492"/>
        <v>7.6717946658738645E-4</v>
      </c>
      <c r="H2864" s="6">
        <f t="shared" si="492"/>
        <v>8.4756764788336408E-3</v>
      </c>
      <c r="I2864" s="6">
        <f t="shared" si="492"/>
        <v>6.5488417858432062E-4</v>
      </c>
      <c r="J2864" s="6">
        <f t="shared" si="492"/>
        <v>1.3487644845309259E-3</v>
      </c>
      <c r="K2864" s="6">
        <f t="shared" ref="K2864:S2864" si="493">B2093*K$2754*B$581*(1-K$2727)*100/(24*$F$14)</f>
        <v>1.2609713295260957E-3</v>
      </c>
      <c r="L2864" s="6">
        <f t="shared" si="493"/>
        <v>2.1956940574002624E-2</v>
      </c>
      <c r="M2864" s="6">
        <f t="shared" si="493"/>
        <v>1.9393613127126018E-3</v>
      </c>
      <c r="N2864" s="6">
        <f t="shared" si="493"/>
        <v>4.2442416372434899E-3</v>
      </c>
      <c r="O2864" s="6">
        <f t="shared" si="493"/>
        <v>3.6924606728225597E-3</v>
      </c>
      <c r="P2864" s="6">
        <f t="shared" si="493"/>
        <v>1.6122111664046642E-3</v>
      </c>
      <c r="Q2864" s="6">
        <f t="shared" si="493"/>
        <v>1.7811452022813604E-2</v>
      </c>
      <c r="R2864" s="6">
        <f t="shared" si="493"/>
        <v>6.8811251564898602E-3</v>
      </c>
      <c r="S2864" s="6">
        <f t="shared" si="493"/>
        <v>1.4171997932136398E-2</v>
      </c>
      <c r="T2864" s="10"/>
    </row>
    <row r="2865" spans="1:20">
      <c r="A2865" s="11" t="s">
        <v>99</v>
      </c>
      <c r="B2865" s="6">
        <f t="shared" ref="B2865:J2865" si="494">B2094*B$2754*B$582*(1-B$2728)*100/(24*$F$14)</f>
        <v>0</v>
      </c>
      <c r="C2865" s="6">
        <f t="shared" si="494"/>
        <v>3.7033907453772906E-2</v>
      </c>
      <c r="D2865" s="6">
        <f t="shared" si="494"/>
        <v>3.2710443940202035E-3</v>
      </c>
      <c r="E2865" s="6">
        <f t="shared" si="494"/>
        <v>7.1585953186588122E-3</v>
      </c>
      <c r="F2865" s="6">
        <f t="shared" si="494"/>
        <v>1.5569820209368839E-3</v>
      </c>
      <c r="G2865" s="6">
        <f t="shared" si="494"/>
        <v>6.7981327967047279E-4</v>
      </c>
      <c r="H2865" s="6">
        <f t="shared" si="494"/>
        <v>7.5104687696245448E-3</v>
      </c>
      <c r="I2865" s="6">
        <f t="shared" si="494"/>
        <v>5.803061482185796E-4</v>
      </c>
      <c r="J2865" s="6">
        <f t="shared" si="494"/>
        <v>0</v>
      </c>
      <c r="K2865" s="6">
        <f t="shared" ref="K2865:S2865" si="495">B2094*K$2754*B$582*(1-K$2728)*100/(24*$F$14)</f>
        <v>1.1173722608983938E-3</v>
      </c>
      <c r="L2865" s="6">
        <f t="shared" si="495"/>
        <v>1.945649021283101E-2</v>
      </c>
      <c r="M2865" s="6">
        <f t="shared" si="495"/>
        <v>1.7185073791479183E-3</v>
      </c>
      <c r="N2865" s="6">
        <f t="shared" si="495"/>
        <v>3.7609085654534014E-3</v>
      </c>
      <c r="O2865" s="6">
        <f t="shared" si="495"/>
        <v>3.2719642656909142E-3</v>
      </c>
      <c r="P2865" s="6">
        <f t="shared" si="495"/>
        <v>1.4286130016360025E-3</v>
      </c>
      <c r="Q2865" s="6">
        <f t="shared" si="495"/>
        <v>1.5783088759118873E-2</v>
      </c>
      <c r="R2865" s="6">
        <f t="shared" si="495"/>
        <v>6.097504513858789E-3</v>
      </c>
      <c r="S2865" s="6">
        <f t="shared" si="495"/>
        <v>0</v>
      </c>
      <c r="T2865" s="10"/>
    </row>
    <row r="2866" spans="1:20">
      <c r="A2866" s="11" t="s">
        <v>111</v>
      </c>
      <c r="B2866" s="6">
        <f t="shared" ref="B2866:J2866" si="496">B2095*B$2754*B$583*(1-B$2729)*100/(24*$F$14)</f>
        <v>0</v>
      </c>
      <c r="C2866" s="6">
        <f t="shared" si="496"/>
        <v>3.7672351033825879E-2</v>
      </c>
      <c r="D2866" s="6">
        <f t="shared" si="496"/>
        <v>2.1295586213809061E-3</v>
      </c>
      <c r="E2866" s="6">
        <f t="shared" si="496"/>
        <v>4.6604834852427002E-3</v>
      </c>
      <c r="F2866" s="6">
        <f t="shared" si="496"/>
        <v>5.7017646314934411E-4</v>
      </c>
      <c r="G2866" s="6">
        <f t="shared" si="496"/>
        <v>2.4895183514786321E-4</v>
      </c>
      <c r="H2866" s="6">
        <f t="shared" si="496"/>
        <v>2.7503801984054654E-3</v>
      </c>
      <c r="I2866" s="6">
        <f t="shared" si="496"/>
        <v>0</v>
      </c>
      <c r="J2866" s="6">
        <f t="shared" si="496"/>
        <v>0</v>
      </c>
      <c r="K2866" s="6">
        <f t="shared" ref="K2866:S2866" si="497">B2095*K$2754*B$583*(1-K$2729)*100/(24*$F$14)</f>
        <v>1.1366351255418371E-3</v>
      </c>
      <c r="L2866" s="6">
        <f t="shared" si="497"/>
        <v>1.9791909079507473E-2</v>
      </c>
      <c r="M2866" s="6">
        <f t="shared" si="497"/>
        <v>1.748133472609975E-3</v>
      </c>
      <c r="N2866" s="6">
        <f t="shared" si="497"/>
        <v>3.8257444980856017E-3</v>
      </c>
      <c r="O2866" s="6">
        <f t="shared" si="497"/>
        <v>3.3283710756447558E-3</v>
      </c>
      <c r="P2866" s="6">
        <f t="shared" si="497"/>
        <v>1.4532414802920343E-3</v>
      </c>
      <c r="Q2866" s="6">
        <f t="shared" si="497"/>
        <v>1.6055180266185572E-2</v>
      </c>
      <c r="R2866" s="6">
        <f t="shared" si="497"/>
        <v>0</v>
      </c>
      <c r="S2866" s="6">
        <f t="shared" si="497"/>
        <v>0</v>
      </c>
      <c r="T2866" s="10"/>
    </row>
    <row r="2867" spans="1:20">
      <c r="A2867" s="11" t="s">
        <v>135</v>
      </c>
      <c r="B2867" s="6">
        <f t="shared" ref="B2867:J2867" si="498">B2096*B$2754*B$588*(1-B$2734)*100/(24*$F$14)</f>
        <v>0</v>
      </c>
      <c r="C2867" s="6">
        <f t="shared" si="498"/>
        <v>3.7104365118876936E-2</v>
      </c>
      <c r="D2867" s="6">
        <f t="shared" si="498"/>
        <v>3.2772676139367625E-3</v>
      </c>
      <c r="E2867" s="6">
        <f t="shared" si="498"/>
        <v>7.1722146730898032E-3</v>
      </c>
      <c r="F2867" s="6">
        <f t="shared" si="498"/>
        <v>1.5599442068185954E-3</v>
      </c>
      <c r="G2867" s="6">
        <f t="shared" si="498"/>
        <v>6.8110663648009617E-4</v>
      </c>
      <c r="H2867" s="6">
        <f t="shared" si="498"/>
        <v>7.5247575695305529E-3</v>
      </c>
      <c r="I2867" s="6">
        <f t="shared" si="498"/>
        <v>5.8141019094753109E-4</v>
      </c>
      <c r="J2867" s="6">
        <f t="shared" si="498"/>
        <v>1.1974413829779289E-3</v>
      </c>
      <c r="K2867" s="6">
        <f t="shared" ref="K2867:S2867" si="499">B2096*K$2754*B$588*(1-K$2734)*100/(24*$F$14)</f>
        <v>1.1194980814225497E-3</v>
      </c>
      <c r="L2867" s="6">
        <f t="shared" si="499"/>
        <v>1.9493506530194413E-2</v>
      </c>
      <c r="M2867" s="6">
        <f t="shared" si="499"/>
        <v>1.7217768698855607E-3</v>
      </c>
      <c r="N2867" s="6">
        <f t="shared" si="499"/>
        <v>3.7680637606356112E-3</v>
      </c>
      <c r="O2867" s="6">
        <f t="shared" si="499"/>
        <v>3.2781892356796251E-3</v>
      </c>
      <c r="P2867" s="6">
        <f t="shared" si="499"/>
        <v>1.431330963184029E-3</v>
      </c>
      <c r="Q2867" s="6">
        <f t="shared" si="499"/>
        <v>1.5813116365130622E-2</v>
      </c>
      <c r="R2867" s="6">
        <f t="shared" si="499"/>
        <v>6.1091051242330554E-3</v>
      </c>
      <c r="S2867" s="6">
        <f t="shared" si="499"/>
        <v>1.2581986698233414E-2</v>
      </c>
      <c r="T2867" s="10"/>
    </row>
    <row r="2868" spans="1:20">
      <c r="A2868" s="11" t="s">
        <v>102</v>
      </c>
      <c r="B2868" s="6">
        <f t="shared" ref="B2868:J2868" si="500">B2097*B$2754*B$592*(1-B$2738)*100/(24*$F$14)</f>
        <v>0</v>
      </c>
      <c r="C2868" s="6">
        <f t="shared" si="500"/>
        <v>-3.5849303631569136E-2</v>
      </c>
      <c r="D2868" s="6">
        <f t="shared" si="500"/>
        <v>-3.1664134771613403E-3</v>
      </c>
      <c r="E2868" s="6">
        <f t="shared" si="500"/>
        <v>-6.9296132868092615E-3</v>
      </c>
      <c r="F2868" s="6">
        <f t="shared" si="500"/>
        <v>-1.5071788275955753E-3</v>
      </c>
      <c r="G2868" s="6">
        <f t="shared" si="500"/>
        <v>-6.5806808817298534E-4</v>
      </c>
      <c r="H2868" s="6">
        <f t="shared" si="500"/>
        <v>-7.2702313595660829E-3</v>
      </c>
      <c r="I2868" s="6">
        <f t="shared" si="500"/>
        <v>-5.6174389193800356E-4</v>
      </c>
      <c r="J2868" s="6">
        <f t="shared" si="500"/>
        <v>0</v>
      </c>
      <c r="K2868" s="6">
        <f t="shared" ref="K2868:S2868" si="501">B2097*K$2754*B$592*(1-K$2738)*100/(24*$F$14)</f>
        <v>-1.0816308676161179E-3</v>
      </c>
      <c r="L2868" s="6">
        <f t="shared" si="501"/>
        <v>-1.8834135342458244E-2</v>
      </c>
      <c r="M2868" s="6">
        <f t="shared" si="501"/>
        <v>-1.6635374731944323E-3</v>
      </c>
      <c r="N2868" s="6">
        <f t="shared" si="501"/>
        <v>-3.6406083603736086E-3</v>
      </c>
      <c r="O2868" s="6">
        <f t="shared" si="501"/>
        <v>-3.1673039248913447E-3</v>
      </c>
      <c r="P2868" s="6">
        <f t="shared" si="501"/>
        <v>-1.3829159488931762E-3</v>
      </c>
      <c r="Q2868" s="6">
        <f t="shared" si="501"/>
        <v>-1.5278235003312218E-2</v>
      </c>
      <c r="R2868" s="6">
        <f t="shared" si="501"/>
        <v>-5.902463600014147E-3</v>
      </c>
      <c r="S2868" s="6">
        <f t="shared" si="501"/>
        <v>0</v>
      </c>
      <c r="T2868" s="10"/>
    </row>
    <row r="2869" spans="1:20">
      <c r="A2869" s="11" t="s">
        <v>104</v>
      </c>
      <c r="B2869" s="6">
        <f t="shared" ref="B2869:J2869" si="502">B2098*B$2754*B$594*(1-B$2740)*100/(24*$F$14)</f>
        <v>0</v>
      </c>
      <c r="C2869" s="6">
        <f t="shared" si="502"/>
        <v>-3.5155446141925874E-2</v>
      </c>
      <c r="D2869" s="6">
        <f t="shared" si="502"/>
        <v>-3.1051280550227346E-3</v>
      </c>
      <c r="E2869" s="6">
        <f t="shared" si="502"/>
        <v>-6.795491739322629E-3</v>
      </c>
      <c r="F2869" s="6">
        <f t="shared" si="502"/>
        <v>-1.4780076244808229E-3</v>
      </c>
      <c r="G2869" s="6">
        <f t="shared" si="502"/>
        <v>-6.4533128646641143E-4</v>
      </c>
      <c r="H2869" s="6">
        <f t="shared" si="502"/>
        <v>-7.1295172042196413E-3</v>
      </c>
      <c r="I2869" s="6">
        <f t="shared" si="502"/>
        <v>0</v>
      </c>
      <c r="J2869" s="6">
        <f t="shared" si="502"/>
        <v>0</v>
      </c>
      <c r="K2869" s="6">
        <f t="shared" ref="K2869:S2869" si="503">B2098*K$2754*B$594*(1-K$2740)*100/(24*$F$14)</f>
        <v>-1.0606960766299995E-3</v>
      </c>
      <c r="L2869" s="6">
        <f t="shared" si="503"/>
        <v>-1.8469603690668735E-2</v>
      </c>
      <c r="M2869" s="6">
        <f t="shared" si="503"/>
        <v>-1.6313399737132499E-3</v>
      </c>
      <c r="N2869" s="6">
        <f t="shared" si="503"/>
        <v>-3.570144972753474E-3</v>
      </c>
      <c r="O2869" s="6">
        <f t="shared" si="503"/>
        <v>-3.1060012682805459E-3</v>
      </c>
      <c r="P2869" s="6">
        <f t="shared" si="503"/>
        <v>-1.3561498337533084E-3</v>
      </c>
      <c r="Q2869" s="6">
        <f t="shared" si="503"/>
        <v>-1.4982527229054561E-2</v>
      </c>
      <c r="R2869" s="6">
        <f t="shared" si="503"/>
        <v>0</v>
      </c>
      <c r="S2869" s="6">
        <f t="shared" si="503"/>
        <v>0</v>
      </c>
      <c r="T2869" s="10"/>
    </row>
    <row r="2870" spans="1:20">
      <c r="A2870" s="11" t="s">
        <v>113</v>
      </c>
      <c r="B2870" s="6">
        <f t="shared" ref="B2870:J2870" si="504">B2099*B$2754*B$596*(1-B$2742)*100/(24*$F$14)</f>
        <v>0</v>
      </c>
      <c r="C2870" s="6">
        <f t="shared" si="504"/>
        <v>-3.4491325401838739E-2</v>
      </c>
      <c r="D2870" s="6">
        <f t="shared" si="504"/>
        <v>-1.9497402566245004E-3</v>
      </c>
      <c r="E2870" s="6">
        <f t="shared" si="504"/>
        <v>-4.2669556852203867E-3</v>
      </c>
      <c r="F2870" s="6">
        <f t="shared" si="504"/>
        <v>-5.2203118168269813E-4</v>
      </c>
      <c r="G2870" s="6">
        <f t="shared" si="504"/>
        <v>-2.2793052516844288E-4</v>
      </c>
      <c r="H2870" s="6">
        <f t="shared" si="504"/>
        <v>0</v>
      </c>
      <c r="I2870" s="6">
        <f t="shared" si="504"/>
        <v>0</v>
      </c>
      <c r="J2870" s="6">
        <f t="shared" si="504"/>
        <v>0</v>
      </c>
      <c r="K2870" s="6">
        <f t="shared" ref="K2870:S2870" si="505">B2099*K$2754*B$596*(1-K$2742)*100/(24*$F$14)</f>
        <v>-1.0406584909718576E-3</v>
      </c>
      <c r="L2870" s="6">
        <f t="shared" si="505"/>
        <v>-1.8120694823955917E-2</v>
      </c>
      <c r="M2870" s="6">
        <f t="shared" si="505"/>
        <v>-1.600522367066975E-3</v>
      </c>
      <c r="N2870" s="6">
        <f t="shared" si="505"/>
        <v>-3.5027014446027739E-3</v>
      </c>
      <c r="O2870" s="6">
        <f t="shared" si="505"/>
        <v>-3.0473258683816366E-3</v>
      </c>
      <c r="P2870" s="6">
        <f t="shared" si="505"/>
        <v>-1.3305308378337205E-3</v>
      </c>
      <c r="Q2870" s="6">
        <f t="shared" si="505"/>
        <v>0</v>
      </c>
      <c r="R2870" s="6">
        <f t="shared" si="505"/>
        <v>0</v>
      </c>
      <c r="S2870" s="6">
        <f t="shared" si="505"/>
        <v>0</v>
      </c>
      <c r="T2870" s="10"/>
    </row>
    <row r="2872" spans="1:20" ht="21" customHeight="1">
      <c r="A2872" s="1" t="str">
        <f>"Allocation to standing charges"&amp;" for "&amp;CDCM!B7&amp;" in "&amp;CDCM!C7&amp;" ("&amp;CDCM!D7&amp;")"</f>
        <v>Allocation to standing charges for 0 in 0 (0)</v>
      </c>
    </row>
    <row r="2873" spans="1:20">
      <c r="A2873" s="2" t="s">
        <v>724</v>
      </c>
    </row>
    <row r="2875" spans="1:20" ht="21" customHeight="1">
      <c r="A2875" s="1" t="s">
        <v>725</v>
      </c>
    </row>
    <row r="2876" spans="1:20">
      <c r="A2876" s="2" t="s">
        <v>255</v>
      </c>
    </row>
    <row r="2877" spans="1:20">
      <c r="A2877" s="12" t="s">
        <v>720</v>
      </c>
    </row>
    <row r="2878" spans="1:20">
      <c r="A2878" s="12" t="s">
        <v>726</v>
      </c>
    </row>
    <row r="2879" spans="1:20">
      <c r="A2879" s="2" t="s">
        <v>727</v>
      </c>
    </row>
    <row r="2881" spans="1:20" ht="30">
      <c r="B2881" s="3" t="s">
        <v>60</v>
      </c>
      <c r="C2881" s="3" t="s">
        <v>220</v>
      </c>
      <c r="D2881" s="3" t="s">
        <v>221</v>
      </c>
      <c r="E2881" s="3" t="s">
        <v>222</v>
      </c>
      <c r="F2881" s="3" t="s">
        <v>223</v>
      </c>
      <c r="G2881" s="3" t="s">
        <v>224</v>
      </c>
      <c r="H2881" s="3" t="s">
        <v>225</v>
      </c>
      <c r="I2881" s="3" t="s">
        <v>226</v>
      </c>
      <c r="J2881" s="3" t="s">
        <v>227</v>
      </c>
      <c r="K2881" s="3" t="s">
        <v>208</v>
      </c>
      <c r="L2881" s="3" t="s">
        <v>624</v>
      </c>
      <c r="M2881" s="3" t="s">
        <v>625</v>
      </c>
      <c r="N2881" s="3" t="s">
        <v>626</v>
      </c>
      <c r="O2881" s="3" t="s">
        <v>627</v>
      </c>
      <c r="P2881" s="3" t="s">
        <v>628</v>
      </c>
      <c r="Q2881" s="3" t="s">
        <v>629</v>
      </c>
      <c r="R2881" s="3" t="s">
        <v>630</v>
      </c>
      <c r="S2881" s="3" t="s">
        <v>631</v>
      </c>
    </row>
    <row r="2882" spans="1:20">
      <c r="A2882" s="11" t="s">
        <v>728</v>
      </c>
      <c r="B2882" s="6">
        <f t="shared" ref="B2882:J2882" si="506">B2754/(1+B2449)</f>
        <v>0</v>
      </c>
      <c r="C2882" s="6">
        <f t="shared" si="506"/>
        <v>17.20775543239359</v>
      </c>
      <c r="D2882" s="6">
        <f t="shared" si="506"/>
        <v>2.1809431056604454</v>
      </c>
      <c r="E2882" s="6">
        <f t="shared" si="506"/>
        <v>5.9629990209885753</v>
      </c>
      <c r="F2882" s="6">
        <f t="shared" si="506"/>
        <v>5.2276735342501599</v>
      </c>
      <c r="G2882" s="6">
        <f t="shared" si="506"/>
        <v>4.3167718830837565</v>
      </c>
      <c r="H2882" s="6">
        <f t="shared" si="506"/>
        <v>12.996604068348418</v>
      </c>
      <c r="I2882" s="6">
        <f t="shared" si="506"/>
        <v>5.1176755692321869</v>
      </c>
      <c r="J2882" s="6">
        <f t="shared" si="506"/>
        <v>11.464353574444866</v>
      </c>
      <c r="K2882" s="6">
        <f t="shared" ref="K2882:S2882" si="507">K2754/(1+B2449)</f>
        <v>6.4009994548016289</v>
      </c>
      <c r="L2882" s="6">
        <f t="shared" si="507"/>
        <v>9.040432084382898</v>
      </c>
      <c r="M2882" s="6">
        <f t="shared" si="507"/>
        <v>1.1458012699035549</v>
      </c>
      <c r="N2882" s="6">
        <f t="shared" si="507"/>
        <v>3.1327785823249785</v>
      </c>
      <c r="O2882" s="6">
        <f t="shared" si="507"/>
        <v>2.7464609042935821</v>
      </c>
      <c r="P2882" s="6">
        <f t="shared" si="507"/>
        <v>2.2679008419265965</v>
      </c>
      <c r="Q2882" s="6">
        <f t="shared" si="507"/>
        <v>6.828021055339633</v>
      </c>
      <c r="R2882" s="6">
        <f t="shared" si="507"/>
        <v>2.6886713142408722</v>
      </c>
      <c r="S2882" s="6">
        <f t="shared" si="507"/>
        <v>6.023023182094617</v>
      </c>
      <c r="T2882" s="10"/>
    </row>
    <row r="2884" spans="1:20" ht="21" customHeight="1">
      <c r="A2884" s="1" t="s">
        <v>729</v>
      </c>
    </row>
    <row r="2885" spans="1:20">
      <c r="A2885" s="2" t="s">
        <v>730</v>
      </c>
    </row>
    <row r="2886" spans="1:20">
      <c r="A2886" s="2" t="s">
        <v>255</v>
      </c>
    </row>
    <row r="2887" spans="1:20">
      <c r="A2887" s="12" t="s">
        <v>731</v>
      </c>
    </row>
    <row r="2888" spans="1:20">
      <c r="A2888" s="12" t="s">
        <v>732</v>
      </c>
    </row>
    <row r="2889" spans="1:20">
      <c r="A2889" s="12" t="s">
        <v>733</v>
      </c>
    </row>
    <row r="2890" spans="1:20">
      <c r="A2890" s="12" t="s">
        <v>734</v>
      </c>
    </row>
    <row r="2891" spans="1:20">
      <c r="A2891" s="12" t="s">
        <v>525</v>
      </c>
    </row>
    <row r="2892" spans="1:20">
      <c r="A2892" s="12" t="s">
        <v>735</v>
      </c>
    </row>
    <row r="2893" spans="1:20">
      <c r="A2893" s="2" t="s">
        <v>736</v>
      </c>
    </row>
    <row r="2895" spans="1:20" ht="30">
      <c r="B2895" s="3" t="s">
        <v>60</v>
      </c>
      <c r="C2895" s="3" t="s">
        <v>220</v>
      </c>
      <c r="D2895" s="3" t="s">
        <v>221</v>
      </c>
      <c r="E2895" s="3" t="s">
        <v>222</v>
      </c>
      <c r="F2895" s="3" t="s">
        <v>223</v>
      </c>
      <c r="G2895" s="3" t="s">
        <v>224</v>
      </c>
      <c r="H2895" s="3" t="s">
        <v>225</v>
      </c>
      <c r="I2895" s="3" t="s">
        <v>226</v>
      </c>
      <c r="J2895" s="3" t="s">
        <v>227</v>
      </c>
      <c r="K2895" s="3" t="s">
        <v>208</v>
      </c>
      <c r="L2895" s="3" t="s">
        <v>624</v>
      </c>
      <c r="M2895" s="3" t="s">
        <v>625</v>
      </c>
      <c r="N2895" s="3" t="s">
        <v>626</v>
      </c>
      <c r="O2895" s="3" t="s">
        <v>627</v>
      </c>
      <c r="P2895" s="3" t="s">
        <v>628</v>
      </c>
      <c r="Q2895" s="3" t="s">
        <v>629</v>
      </c>
      <c r="R2895" s="3" t="s">
        <v>630</v>
      </c>
      <c r="S2895" s="3" t="s">
        <v>631</v>
      </c>
    </row>
    <row r="2896" spans="1:20">
      <c r="A2896" s="11" t="s">
        <v>92</v>
      </c>
      <c r="B2896" s="6">
        <f t="shared" ref="B2896:J2896" si="508">100*B2283*B$570*B$2882*$E$14/$F$14*(1-B$2716)</f>
        <v>0</v>
      </c>
      <c r="C2896" s="6">
        <f t="shared" si="508"/>
        <v>0</v>
      </c>
      <c r="D2896" s="6">
        <f t="shared" si="508"/>
        <v>0</v>
      </c>
      <c r="E2896" s="6">
        <f t="shared" si="508"/>
        <v>0</v>
      </c>
      <c r="F2896" s="6">
        <f t="shared" si="508"/>
        <v>0</v>
      </c>
      <c r="G2896" s="6">
        <f t="shared" si="508"/>
        <v>0</v>
      </c>
      <c r="H2896" s="6">
        <f t="shared" si="508"/>
        <v>0</v>
      </c>
      <c r="I2896" s="6">
        <f t="shared" si="508"/>
        <v>0</v>
      </c>
      <c r="J2896" s="6">
        <f t="shared" si="508"/>
        <v>0.14878600950440751</v>
      </c>
      <c r="K2896" s="6">
        <f t="shared" ref="K2896:S2896" si="509">100*B2283*B$570*K$2882*$E$14/$F$14*(1-K$2716)</f>
        <v>0</v>
      </c>
      <c r="L2896" s="6">
        <f t="shared" si="509"/>
        <v>0</v>
      </c>
      <c r="M2896" s="6">
        <f t="shared" si="509"/>
        <v>0</v>
      </c>
      <c r="N2896" s="6">
        <f t="shared" si="509"/>
        <v>0</v>
      </c>
      <c r="O2896" s="6">
        <f t="shared" si="509"/>
        <v>0</v>
      </c>
      <c r="P2896" s="6">
        <f t="shared" si="509"/>
        <v>0</v>
      </c>
      <c r="Q2896" s="6">
        <f t="shared" si="509"/>
        <v>0</v>
      </c>
      <c r="R2896" s="6">
        <f t="shared" si="509"/>
        <v>0</v>
      </c>
      <c r="S2896" s="6">
        <f t="shared" si="509"/>
        <v>1.5633530117458703</v>
      </c>
      <c r="T2896" s="10"/>
    </row>
    <row r="2897" spans="1:20">
      <c r="A2897" s="11" t="s">
        <v>93</v>
      </c>
      <c r="B2897" s="6">
        <f t="shared" ref="B2897:J2897" si="510">100*B2284*B$571*B$2882*$E$14/$F$14*(1-B$2717)</f>
        <v>0</v>
      </c>
      <c r="C2897" s="6">
        <f t="shared" si="510"/>
        <v>0</v>
      </c>
      <c r="D2897" s="6">
        <f t="shared" si="510"/>
        <v>0</v>
      </c>
      <c r="E2897" s="6">
        <f t="shared" si="510"/>
        <v>0</v>
      </c>
      <c r="F2897" s="6">
        <f t="shared" si="510"/>
        <v>0</v>
      </c>
      <c r="G2897" s="6">
        <f t="shared" si="510"/>
        <v>0</v>
      </c>
      <c r="H2897" s="6">
        <f t="shared" si="510"/>
        <v>0</v>
      </c>
      <c r="I2897" s="6">
        <f t="shared" si="510"/>
        <v>0</v>
      </c>
      <c r="J2897" s="6">
        <f t="shared" si="510"/>
        <v>0.14878600950440751</v>
      </c>
      <c r="K2897" s="6">
        <f t="shared" ref="K2897:S2897" si="511">100*B2284*B$571*K$2882*$E$14/$F$14*(1-K$2717)</f>
        <v>0</v>
      </c>
      <c r="L2897" s="6">
        <f t="shared" si="511"/>
        <v>0</v>
      </c>
      <c r="M2897" s="6">
        <f t="shared" si="511"/>
        <v>0</v>
      </c>
      <c r="N2897" s="6">
        <f t="shared" si="511"/>
        <v>0</v>
      </c>
      <c r="O2897" s="6">
        <f t="shared" si="511"/>
        <v>0</v>
      </c>
      <c r="P2897" s="6">
        <f t="shared" si="511"/>
        <v>0</v>
      </c>
      <c r="Q2897" s="6">
        <f t="shared" si="511"/>
        <v>0</v>
      </c>
      <c r="R2897" s="6">
        <f t="shared" si="511"/>
        <v>0</v>
      </c>
      <c r="S2897" s="6">
        <f t="shared" si="511"/>
        <v>1.5633530117458703</v>
      </c>
      <c r="T2897" s="10"/>
    </row>
    <row r="2898" spans="1:20">
      <c r="A2898" s="11" t="s">
        <v>129</v>
      </c>
      <c r="B2898" s="6">
        <f t="shared" ref="B2898:J2898" si="512">100*B2285*B$572*B$2882*$E$14/$F$14*(1-B$2718)</f>
        <v>0</v>
      </c>
      <c r="C2898" s="6">
        <f t="shared" si="512"/>
        <v>0</v>
      </c>
      <c r="D2898" s="6">
        <f t="shared" si="512"/>
        <v>0</v>
      </c>
      <c r="E2898" s="6">
        <f t="shared" si="512"/>
        <v>0</v>
      </c>
      <c r="F2898" s="6">
        <f t="shared" si="512"/>
        <v>0</v>
      </c>
      <c r="G2898" s="6">
        <f t="shared" si="512"/>
        <v>0</v>
      </c>
      <c r="H2898" s="6">
        <f t="shared" si="512"/>
        <v>0</v>
      </c>
      <c r="I2898" s="6">
        <f t="shared" si="512"/>
        <v>0</v>
      </c>
      <c r="J2898" s="6">
        <f t="shared" si="512"/>
        <v>0.14878600950440751</v>
      </c>
      <c r="K2898" s="6">
        <f t="shared" ref="K2898:S2898" si="513">100*B2285*B$572*K$2882*$E$14/$F$14*(1-K$2718)</f>
        <v>0</v>
      </c>
      <c r="L2898" s="6">
        <f t="shared" si="513"/>
        <v>0</v>
      </c>
      <c r="M2898" s="6">
        <f t="shared" si="513"/>
        <v>0</v>
      </c>
      <c r="N2898" s="6">
        <f t="shared" si="513"/>
        <v>0</v>
      </c>
      <c r="O2898" s="6">
        <f t="shared" si="513"/>
        <v>0</v>
      </c>
      <c r="P2898" s="6">
        <f t="shared" si="513"/>
        <v>0</v>
      </c>
      <c r="Q2898" s="6">
        <f t="shared" si="513"/>
        <v>0</v>
      </c>
      <c r="R2898" s="6">
        <f t="shared" si="513"/>
        <v>0</v>
      </c>
      <c r="S2898" s="6">
        <f t="shared" si="513"/>
        <v>1.5633530117458703</v>
      </c>
      <c r="T2898" s="10"/>
    </row>
    <row r="2899" spans="1:20">
      <c r="A2899" s="11" t="s">
        <v>94</v>
      </c>
      <c r="B2899" s="6">
        <f t="shared" ref="B2899:J2899" si="514">100*B2286*B$573*B$2882*$E$14/$F$14*(1-B$2719)</f>
        <v>0</v>
      </c>
      <c r="C2899" s="6">
        <f t="shared" si="514"/>
        <v>0</v>
      </c>
      <c r="D2899" s="6">
        <f t="shared" si="514"/>
        <v>0</v>
      </c>
      <c r="E2899" s="6">
        <f t="shared" si="514"/>
        <v>0</v>
      </c>
      <c r="F2899" s="6">
        <f t="shared" si="514"/>
        <v>0</v>
      </c>
      <c r="G2899" s="6">
        <f t="shared" si="514"/>
        <v>0</v>
      </c>
      <c r="H2899" s="6">
        <f t="shared" si="514"/>
        <v>0</v>
      </c>
      <c r="I2899" s="6">
        <f t="shared" si="514"/>
        <v>0</v>
      </c>
      <c r="J2899" s="6">
        <f t="shared" si="514"/>
        <v>0.14878600950440751</v>
      </c>
      <c r="K2899" s="6">
        <f t="shared" ref="K2899:S2899" si="515">100*B2286*B$573*K$2882*$E$14/$F$14*(1-K$2719)</f>
        <v>0</v>
      </c>
      <c r="L2899" s="6">
        <f t="shared" si="515"/>
        <v>0</v>
      </c>
      <c r="M2899" s="6">
        <f t="shared" si="515"/>
        <v>0</v>
      </c>
      <c r="N2899" s="6">
        <f t="shared" si="515"/>
        <v>0</v>
      </c>
      <c r="O2899" s="6">
        <f t="shared" si="515"/>
        <v>0</v>
      </c>
      <c r="P2899" s="6">
        <f t="shared" si="515"/>
        <v>0</v>
      </c>
      <c r="Q2899" s="6">
        <f t="shared" si="515"/>
        <v>0</v>
      </c>
      <c r="R2899" s="6">
        <f t="shared" si="515"/>
        <v>0</v>
      </c>
      <c r="S2899" s="6">
        <f t="shared" si="515"/>
        <v>1.5633530117458703</v>
      </c>
      <c r="T2899" s="10"/>
    </row>
    <row r="2900" spans="1:20">
      <c r="A2900" s="11" t="s">
        <v>95</v>
      </c>
      <c r="B2900" s="6">
        <f t="shared" ref="B2900:J2900" si="516">100*B2287*B$574*B$2882*$E$14/$F$14*(1-B$2720)</f>
        <v>0</v>
      </c>
      <c r="C2900" s="6">
        <f t="shared" si="516"/>
        <v>0</v>
      </c>
      <c r="D2900" s="6">
        <f t="shared" si="516"/>
        <v>0</v>
      </c>
      <c r="E2900" s="6">
        <f t="shared" si="516"/>
        <v>0</v>
      </c>
      <c r="F2900" s="6">
        <f t="shared" si="516"/>
        <v>0</v>
      </c>
      <c r="G2900" s="6">
        <f t="shared" si="516"/>
        <v>0</v>
      </c>
      <c r="H2900" s="6">
        <f t="shared" si="516"/>
        <v>0</v>
      </c>
      <c r="I2900" s="6">
        <f t="shared" si="516"/>
        <v>0</v>
      </c>
      <c r="J2900" s="6">
        <f t="shared" si="516"/>
        <v>0.14878600950440751</v>
      </c>
      <c r="K2900" s="6">
        <f t="shared" ref="K2900:S2900" si="517">100*B2287*B$574*K$2882*$E$14/$F$14*(1-K$2720)</f>
        <v>0</v>
      </c>
      <c r="L2900" s="6">
        <f t="shared" si="517"/>
        <v>0</v>
      </c>
      <c r="M2900" s="6">
        <f t="shared" si="517"/>
        <v>0</v>
      </c>
      <c r="N2900" s="6">
        <f t="shared" si="517"/>
        <v>0</v>
      </c>
      <c r="O2900" s="6">
        <f t="shared" si="517"/>
        <v>0</v>
      </c>
      <c r="P2900" s="6">
        <f t="shared" si="517"/>
        <v>0</v>
      </c>
      <c r="Q2900" s="6">
        <f t="shared" si="517"/>
        <v>0</v>
      </c>
      <c r="R2900" s="6">
        <f t="shared" si="517"/>
        <v>0</v>
      </c>
      <c r="S2900" s="6">
        <f t="shared" si="517"/>
        <v>1.5633530117458703</v>
      </c>
      <c r="T2900" s="10"/>
    </row>
    <row r="2901" spans="1:20">
      <c r="A2901" s="11" t="s">
        <v>130</v>
      </c>
      <c r="B2901" s="6">
        <f t="shared" ref="B2901:J2901" si="518">100*B2288*B$575*B$2882*$E$14/$F$14*(1-B$2721)</f>
        <v>0</v>
      </c>
      <c r="C2901" s="6">
        <f t="shared" si="518"/>
        <v>0</v>
      </c>
      <c r="D2901" s="6">
        <f t="shared" si="518"/>
        <v>0</v>
      </c>
      <c r="E2901" s="6">
        <f t="shared" si="518"/>
        <v>0</v>
      </c>
      <c r="F2901" s="6">
        <f t="shared" si="518"/>
        <v>0</v>
      </c>
      <c r="G2901" s="6">
        <f t="shared" si="518"/>
        <v>0</v>
      </c>
      <c r="H2901" s="6">
        <f t="shared" si="518"/>
        <v>0</v>
      </c>
      <c r="I2901" s="6">
        <f t="shared" si="518"/>
        <v>0</v>
      </c>
      <c r="J2901" s="6">
        <f t="shared" si="518"/>
        <v>0.14878600950440751</v>
      </c>
      <c r="K2901" s="6">
        <f t="shared" ref="K2901:S2901" si="519">100*B2288*B$575*K$2882*$E$14/$F$14*(1-K$2721)</f>
        <v>0</v>
      </c>
      <c r="L2901" s="6">
        <f t="shared" si="519"/>
        <v>0</v>
      </c>
      <c r="M2901" s="6">
        <f t="shared" si="519"/>
        <v>0</v>
      </c>
      <c r="N2901" s="6">
        <f t="shared" si="519"/>
        <v>0</v>
      </c>
      <c r="O2901" s="6">
        <f t="shared" si="519"/>
        <v>0</v>
      </c>
      <c r="P2901" s="6">
        <f t="shared" si="519"/>
        <v>0</v>
      </c>
      <c r="Q2901" s="6">
        <f t="shared" si="519"/>
        <v>0</v>
      </c>
      <c r="R2901" s="6">
        <f t="shared" si="519"/>
        <v>0</v>
      </c>
      <c r="S2901" s="6">
        <f t="shared" si="519"/>
        <v>1.5633530117458703</v>
      </c>
      <c r="T2901" s="10"/>
    </row>
    <row r="2902" spans="1:20">
      <c r="A2902" s="11" t="s">
        <v>96</v>
      </c>
      <c r="B2902" s="6">
        <f t="shared" ref="B2902:J2902" si="520">100*B2289*B$576*B$2882*$E$14/$F$14*(1-B$2722)</f>
        <v>0</v>
      </c>
      <c r="C2902" s="6">
        <f t="shared" si="520"/>
        <v>0</v>
      </c>
      <c r="D2902" s="6">
        <f t="shared" si="520"/>
        <v>0</v>
      </c>
      <c r="E2902" s="6">
        <f t="shared" si="520"/>
        <v>0</v>
      </c>
      <c r="F2902" s="6">
        <f t="shared" si="520"/>
        <v>0</v>
      </c>
      <c r="G2902" s="6">
        <f t="shared" si="520"/>
        <v>0</v>
      </c>
      <c r="H2902" s="6">
        <f t="shared" si="520"/>
        <v>0</v>
      </c>
      <c r="I2902" s="6">
        <f t="shared" si="520"/>
        <v>0</v>
      </c>
      <c r="J2902" s="6">
        <f t="shared" si="520"/>
        <v>0.14878600950440751</v>
      </c>
      <c r="K2902" s="6">
        <f t="shared" ref="K2902:S2902" si="521">100*B2289*B$576*K$2882*$E$14/$F$14*(1-K$2722)</f>
        <v>0</v>
      </c>
      <c r="L2902" s="6">
        <f t="shared" si="521"/>
        <v>0</v>
      </c>
      <c r="M2902" s="6">
        <f t="shared" si="521"/>
        <v>0</v>
      </c>
      <c r="N2902" s="6">
        <f t="shared" si="521"/>
        <v>0</v>
      </c>
      <c r="O2902" s="6">
        <f t="shared" si="521"/>
        <v>0</v>
      </c>
      <c r="P2902" s="6">
        <f t="shared" si="521"/>
        <v>0</v>
      </c>
      <c r="Q2902" s="6">
        <f t="shared" si="521"/>
        <v>0</v>
      </c>
      <c r="R2902" s="6">
        <f t="shared" si="521"/>
        <v>0</v>
      </c>
      <c r="S2902" s="6">
        <f t="shared" si="521"/>
        <v>1.5633530117458703</v>
      </c>
      <c r="T2902" s="10"/>
    </row>
    <row r="2903" spans="1:20">
      <c r="A2903" s="11" t="s">
        <v>97</v>
      </c>
      <c r="B2903" s="6">
        <f t="shared" ref="B2903:J2903" si="522">100*B2290*B$577*B$2882*$E$14/$F$14*(1-B$2723)</f>
        <v>0</v>
      </c>
      <c r="C2903" s="6">
        <f t="shared" si="522"/>
        <v>0</v>
      </c>
      <c r="D2903" s="6">
        <f t="shared" si="522"/>
        <v>0</v>
      </c>
      <c r="E2903" s="6">
        <f t="shared" si="522"/>
        <v>0</v>
      </c>
      <c r="F2903" s="6">
        <f t="shared" si="522"/>
        <v>0</v>
      </c>
      <c r="G2903" s="6">
        <f t="shared" si="522"/>
        <v>0</v>
      </c>
      <c r="H2903" s="6">
        <f t="shared" si="522"/>
        <v>0</v>
      </c>
      <c r="I2903" s="6">
        <f t="shared" si="522"/>
        <v>6.6417920638942377E-2</v>
      </c>
      <c r="J2903" s="6">
        <f t="shared" si="522"/>
        <v>0</v>
      </c>
      <c r="K2903" s="6">
        <f t="shared" ref="K2903:S2903" si="523">100*B2290*B$577*K$2882*$E$14/$F$14*(1-K$2723)</f>
        <v>0</v>
      </c>
      <c r="L2903" s="6">
        <f t="shared" si="523"/>
        <v>0</v>
      </c>
      <c r="M2903" s="6">
        <f t="shared" si="523"/>
        <v>0</v>
      </c>
      <c r="N2903" s="6">
        <f t="shared" si="523"/>
        <v>0</v>
      </c>
      <c r="O2903" s="6">
        <f t="shared" si="523"/>
        <v>0</v>
      </c>
      <c r="P2903" s="6">
        <f t="shared" si="523"/>
        <v>0</v>
      </c>
      <c r="Q2903" s="6">
        <f t="shared" si="523"/>
        <v>0</v>
      </c>
      <c r="R2903" s="6">
        <f t="shared" si="523"/>
        <v>0.69787916626470725</v>
      </c>
      <c r="S2903" s="6">
        <f t="shared" si="523"/>
        <v>0</v>
      </c>
      <c r="T2903" s="10"/>
    </row>
    <row r="2904" spans="1:20">
      <c r="A2904" s="11" t="s">
        <v>110</v>
      </c>
      <c r="B2904" s="6">
        <f t="shared" ref="B2904:J2904" si="524">100*B2291*B$578*B$2882*$E$14/$F$14*(1-B$2724)</f>
        <v>0</v>
      </c>
      <c r="C2904" s="6">
        <f t="shared" si="524"/>
        <v>0.27706683045088681</v>
      </c>
      <c r="D2904" s="6">
        <f t="shared" si="524"/>
        <v>0</v>
      </c>
      <c r="E2904" s="6">
        <f t="shared" si="524"/>
        <v>0.140962541593428</v>
      </c>
      <c r="F2904" s="6">
        <f t="shared" si="524"/>
        <v>8.6228739632683779E-2</v>
      </c>
      <c r="G2904" s="6">
        <f t="shared" si="524"/>
        <v>3.0515879686500304E-2</v>
      </c>
      <c r="H2904" s="6">
        <f t="shared" si="524"/>
        <v>0.30360919339994241</v>
      </c>
      <c r="I2904" s="6">
        <f t="shared" si="524"/>
        <v>0</v>
      </c>
      <c r="J2904" s="6">
        <f t="shared" si="524"/>
        <v>0</v>
      </c>
      <c r="K2904" s="6">
        <f t="shared" ref="K2904:S2904" si="525">100*B2291*B$578*K$2882*$E$14/$F$14*(1-K$2724)</f>
        <v>0</v>
      </c>
      <c r="L2904" s="6">
        <f t="shared" si="525"/>
        <v>0.14556249787297545</v>
      </c>
      <c r="M2904" s="6">
        <f t="shared" si="525"/>
        <v>0</v>
      </c>
      <c r="N2904" s="6">
        <f t="shared" si="525"/>
        <v>0.1157147471168726</v>
      </c>
      <c r="O2904" s="6">
        <f t="shared" si="525"/>
        <v>0.50335512149605199</v>
      </c>
      <c r="P2904" s="6">
        <f t="shared" si="525"/>
        <v>0.17813462648983391</v>
      </c>
      <c r="Q2904" s="6">
        <f t="shared" si="525"/>
        <v>1.7723005471509974</v>
      </c>
      <c r="R2904" s="6">
        <f t="shared" si="525"/>
        <v>0</v>
      </c>
      <c r="S2904" s="6">
        <f t="shared" si="525"/>
        <v>0</v>
      </c>
      <c r="T2904" s="10"/>
    </row>
    <row r="2905" spans="1:20">
      <c r="A2905" s="11" t="s">
        <v>1647</v>
      </c>
      <c r="B2905" s="6">
        <f t="shared" ref="B2905:J2905" si="526">100*B2292*B$579*B$2882*$E$14/$F$14*(1-B$2725)</f>
        <v>0</v>
      </c>
      <c r="C2905" s="6">
        <f t="shared" si="526"/>
        <v>0</v>
      </c>
      <c r="D2905" s="6">
        <f t="shared" si="526"/>
        <v>0</v>
      </c>
      <c r="E2905" s="6">
        <f t="shared" si="526"/>
        <v>0</v>
      </c>
      <c r="F2905" s="6">
        <f t="shared" si="526"/>
        <v>0</v>
      </c>
      <c r="G2905" s="6">
        <f t="shared" si="526"/>
        <v>0</v>
      </c>
      <c r="H2905" s="6">
        <f t="shared" si="526"/>
        <v>0</v>
      </c>
      <c r="I2905" s="6">
        <f t="shared" si="526"/>
        <v>0</v>
      </c>
      <c r="J2905" s="6">
        <f t="shared" si="526"/>
        <v>0.14878600950440751</v>
      </c>
      <c r="K2905" s="6">
        <f t="shared" ref="K2905:S2905" si="527">100*B2292*B$579*K$2882*$E$14/$F$14*(1-K$2725)</f>
        <v>0</v>
      </c>
      <c r="L2905" s="6">
        <f t="shared" si="527"/>
        <v>0</v>
      </c>
      <c r="M2905" s="6">
        <f t="shared" si="527"/>
        <v>0</v>
      </c>
      <c r="N2905" s="6">
        <f t="shared" si="527"/>
        <v>0</v>
      </c>
      <c r="O2905" s="6">
        <f t="shared" si="527"/>
        <v>0</v>
      </c>
      <c r="P2905" s="6">
        <f t="shared" si="527"/>
        <v>0</v>
      </c>
      <c r="Q2905" s="6">
        <f t="shared" si="527"/>
        <v>0</v>
      </c>
      <c r="R2905" s="6">
        <f t="shared" si="527"/>
        <v>0</v>
      </c>
      <c r="S2905" s="6">
        <f t="shared" si="527"/>
        <v>1.5633530117458703</v>
      </c>
      <c r="T2905" s="10"/>
    </row>
    <row r="2906" spans="1:20">
      <c r="A2906" s="11" t="s">
        <v>1646</v>
      </c>
      <c r="B2906" s="6">
        <f t="shared" ref="B2906:J2906" si="528">100*B2293*B$580*B$2882*$E$14/$F$14*(1-B$2726)</f>
        <v>0</v>
      </c>
      <c r="C2906" s="6">
        <f t="shared" si="528"/>
        <v>0</v>
      </c>
      <c r="D2906" s="6">
        <f t="shared" si="528"/>
        <v>0</v>
      </c>
      <c r="E2906" s="6">
        <f t="shared" si="528"/>
        <v>0</v>
      </c>
      <c r="F2906" s="6">
        <f t="shared" si="528"/>
        <v>0</v>
      </c>
      <c r="G2906" s="6">
        <f t="shared" si="528"/>
        <v>0</v>
      </c>
      <c r="H2906" s="6">
        <f t="shared" si="528"/>
        <v>0</v>
      </c>
      <c r="I2906" s="6">
        <f t="shared" si="528"/>
        <v>0</v>
      </c>
      <c r="J2906" s="6">
        <f t="shared" si="528"/>
        <v>0.14878600950440751</v>
      </c>
      <c r="K2906" s="6">
        <f t="shared" ref="K2906:S2906" si="529">100*B2293*B$580*K$2882*$E$14/$F$14*(1-K$2726)</f>
        <v>0</v>
      </c>
      <c r="L2906" s="6">
        <f t="shared" si="529"/>
        <v>0</v>
      </c>
      <c r="M2906" s="6">
        <f t="shared" si="529"/>
        <v>0</v>
      </c>
      <c r="N2906" s="6">
        <f t="shared" si="529"/>
        <v>0</v>
      </c>
      <c r="O2906" s="6">
        <f t="shared" si="529"/>
        <v>0</v>
      </c>
      <c r="P2906" s="6">
        <f t="shared" si="529"/>
        <v>0</v>
      </c>
      <c r="Q2906" s="6">
        <f t="shared" si="529"/>
        <v>0</v>
      </c>
      <c r="R2906" s="6">
        <f t="shared" si="529"/>
        <v>0</v>
      </c>
      <c r="S2906" s="6">
        <f t="shared" si="529"/>
        <v>1.5633530117458703</v>
      </c>
      <c r="T2906" s="10"/>
    </row>
    <row r="2907" spans="1:20">
      <c r="A2907" s="11" t="s">
        <v>98</v>
      </c>
      <c r="B2907" s="6">
        <f t="shared" ref="B2907:J2907" si="530">100*B2294*B$581*B$2882*$E$14/$F$14*(1-B$2727)</f>
        <v>0</v>
      </c>
      <c r="C2907" s="6">
        <f t="shared" si="530"/>
        <v>0</v>
      </c>
      <c r="D2907" s="6">
        <f t="shared" si="530"/>
        <v>0</v>
      </c>
      <c r="E2907" s="6">
        <f t="shared" si="530"/>
        <v>0</v>
      </c>
      <c r="F2907" s="6">
        <f t="shared" si="530"/>
        <v>0</v>
      </c>
      <c r="G2907" s="6">
        <f t="shared" si="530"/>
        <v>0</v>
      </c>
      <c r="H2907" s="6">
        <f t="shared" si="530"/>
        <v>0.17531264959337189</v>
      </c>
      <c r="I2907" s="6">
        <f t="shared" si="530"/>
        <v>6.7728800651553067E-2</v>
      </c>
      <c r="J2907" s="6">
        <f t="shared" si="530"/>
        <v>0.14878600950440751</v>
      </c>
      <c r="K2907" s="6">
        <f t="shared" ref="K2907:S2907" si="531">100*B2294*B$581*K$2882*$E$14/$F$14*(1-K$2727)</f>
        <v>0</v>
      </c>
      <c r="L2907" s="6">
        <f t="shared" si="531"/>
        <v>0</v>
      </c>
      <c r="M2907" s="6">
        <f t="shared" si="531"/>
        <v>0</v>
      </c>
      <c r="N2907" s="6">
        <f t="shared" si="531"/>
        <v>0</v>
      </c>
      <c r="O2907" s="6">
        <f t="shared" si="531"/>
        <v>0</v>
      </c>
      <c r="P2907" s="6">
        <f t="shared" si="531"/>
        <v>0</v>
      </c>
      <c r="Q2907" s="6">
        <f t="shared" si="531"/>
        <v>0.36841576657895048</v>
      </c>
      <c r="R2907" s="6">
        <f t="shared" si="531"/>
        <v>0.71165309717782632</v>
      </c>
      <c r="S2907" s="6">
        <f t="shared" si="531"/>
        <v>1.5633530117458703</v>
      </c>
      <c r="T2907" s="10"/>
    </row>
    <row r="2908" spans="1:20">
      <c r="A2908" s="11" t="s">
        <v>99</v>
      </c>
      <c r="B2908" s="6">
        <f t="shared" ref="B2908:J2908" si="532">100*B2295*B$582*B$2882*$E$14/$F$14*(1-B$2728)</f>
        <v>0</v>
      </c>
      <c r="C2908" s="6">
        <f t="shared" si="532"/>
        <v>0</v>
      </c>
      <c r="D2908" s="6">
        <f t="shared" si="532"/>
        <v>0</v>
      </c>
      <c r="E2908" s="6">
        <f t="shared" si="532"/>
        <v>0</v>
      </c>
      <c r="F2908" s="6">
        <f t="shared" si="532"/>
        <v>0</v>
      </c>
      <c r="G2908" s="6">
        <f t="shared" si="532"/>
        <v>0</v>
      </c>
      <c r="H2908" s="6">
        <f t="shared" si="532"/>
        <v>0.85959750768362975</v>
      </c>
      <c r="I2908" s="6">
        <f t="shared" si="532"/>
        <v>6.6417920638942377E-2</v>
      </c>
      <c r="J2908" s="6">
        <f t="shared" si="532"/>
        <v>0</v>
      </c>
      <c r="K2908" s="6">
        <f t="shared" ref="K2908:S2908" si="533">100*B2295*B$582*K$2882*$E$14/$F$14*(1-K$2728)</f>
        <v>0</v>
      </c>
      <c r="L2908" s="6">
        <f t="shared" si="533"/>
        <v>0</v>
      </c>
      <c r="M2908" s="6">
        <f t="shared" si="533"/>
        <v>0</v>
      </c>
      <c r="N2908" s="6">
        <f t="shared" si="533"/>
        <v>0</v>
      </c>
      <c r="O2908" s="6">
        <f t="shared" si="533"/>
        <v>0</v>
      </c>
      <c r="P2908" s="6">
        <f t="shared" si="533"/>
        <v>0</v>
      </c>
      <c r="Q2908" s="6">
        <f t="shared" si="533"/>
        <v>1.8064256941935637</v>
      </c>
      <c r="R2908" s="6">
        <f t="shared" si="533"/>
        <v>0.69787916626470725</v>
      </c>
      <c r="S2908" s="6">
        <f t="shared" si="533"/>
        <v>0</v>
      </c>
      <c r="T2908" s="10"/>
    </row>
    <row r="2909" spans="1:20">
      <c r="A2909" s="11" t="s">
        <v>111</v>
      </c>
      <c r="B2909" s="6">
        <f t="shared" ref="B2909:J2909" si="534">100*B2296*B$583*B$2882*$E$14/$F$14*(1-B$2729)</f>
        <v>0</v>
      </c>
      <c r="C2909" s="6">
        <f t="shared" si="534"/>
        <v>0.27706683045088681</v>
      </c>
      <c r="D2909" s="6">
        <f t="shared" si="534"/>
        <v>0</v>
      </c>
      <c r="E2909" s="6">
        <f t="shared" si="534"/>
        <v>0.140962541593428</v>
      </c>
      <c r="F2909" s="6">
        <f t="shared" si="534"/>
        <v>8.6228739632683779E-2</v>
      </c>
      <c r="G2909" s="6">
        <f t="shared" si="534"/>
        <v>3.0515879686500304E-2</v>
      </c>
      <c r="H2909" s="6">
        <f t="shared" si="534"/>
        <v>0.30360919339994241</v>
      </c>
      <c r="I2909" s="6">
        <f t="shared" si="534"/>
        <v>0</v>
      </c>
      <c r="J2909" s="6">
        <f t="shared" si="534"/>
        <v>0</v>
      </c>
      <c r="K2909" s="6">
        <f t="shared" ref="K2909:S2909" si="535">100*B2296*B$583*K$2882*$E$14/$F$14*(1-K$2729)</f>
        <v>0</v>
      </c>
      <c r="L2909" s="6">
        <f t="shared" si="535"/>
        <v>0.14556249787297545</v>
      </c>
      <c r="M2909" s="6">
        <f t="shared" si="535"/>
        <v>0</v>
      </c>
      <c r="N2909" s="6">
        <f t="shared" si="535"/>
        <v>0.1157147471168726</v>
      </c>
      <c r="O2909" s="6">
        <f t="shared" si="535"/>
        <v>0.50335512149605199</v>
      </c>
      <c r="P2909" s="6">
        <f t="shared" si="535"/>
        <v>0.17813462648983391</v>
      </c>
      <c r="Q2909" s="6">
        <f t="shared" si="535"/>
        <v>1.7723005471509974</v>
      </c>
      <c r="R2909" s="6">
        <f t="shared" si="535"/>
        <v>0</v>
      </c>
      <c r="S2909" s="6">
        <f t="shared" si="535"/>
        <v>0</v>
      </c>
      <c r="T2909" s="10"/>
    </row>
    <row r="2910" spans="1:20">
      <c r="A2910" s="11" t="s">
        <v>131</v>
      </c>
      <c r="B2910" s="6">
        <f t="shared" ref="B2910:J2910" si="536">100*B2297*B$584*B$2882*$E$14/$F$14*(1-B$2730)</f>
        <v>0</v>
      </c>
      <c r="C2910" s="6">
        <f t="shared" si="536"/>
        <v>0</v>
      </c>
      <c r="D2910" s="6">
        <f t="shared" si="536"/>
        <v>0</v>
      </c>
      <c r="E2910" s="6">
        <f t="shared" si="536"/>
        <v>0</v>
      </c>
      <c r="F2910" s="6">
        <f t="shared" si="536"/>
        <v>0</v>
      </c>
      <c r="G2910" s="6">
        <f t="shared" si="536"/>
        <v>0</v>
      </c>
      <c r="H2910" s="6">
        <f t="shared" si="536"/>
        <v>0</v>
      </c>
      <c r="I2910" s="6">
        <f t="shared" si="536"/>
        <v>0</v>
      </c>
      <c r="J2910" s="6">
        <f t="shared" si="536"/>
        <v>0</v>
      </c>
      <c r="K2910" s="6">
        <f t="shared" ref="K2910:S2910" si="537">100*B2297*B$584*K$2882*$E$14/$F$14*(1-K$2730)</f>
        <v>0</v>
      </c>
      <c r="L2910" s="6">
        <f t="shared" si="537"/>
        <v>0</v>
      </c>
      <c r="M2910" s="6">
        <f t="shared" si="537"/>
        <v>0</v>
      </c>
      <c r="N2910" s="6">
        <f t="shared" si="537"/>
        <v>0</v>
      </c>
      <c r="O2910" s="6">
        <f t="shared" si="537"/>
        <v>0</v>
      </c>
      <c r="P2910" s="6">
        <f t="shared" si="537"/>
        <v>0</v>
      </c>
      <c r="Q2910" s="6">
        <f t="shared" si="537"/>
        <v>0</v>
      </c>
      <c r="R2910" s="6">
        <f t="shared" si="537"/>
        <v>0</v>
      </c>
      <c r="S2910" s="6">
        <f t="shared" si="537"/>
        <v>0</v>
      </c>
      <c r="T2910" s="10"/>
    </row>
    <row r="2911" spans="1:20">
      <c r="A2911" s="11" t="s">
        <v>132</v>
      </c>
      <c r="B2911" s="6">
        <f t="shared" ref="B2911:J2911" si="538">100*B2298*B$585*B$2882*$E$14/$F$14*(1-B$2731)</f>
        <v>0</v>
      </c>
      <c r="C2911" s="6">
        <f t="shared" si="538"/>
        <v>0</v>
      </c>
      <c r="D2911" s="6">
        <f t="shared" si="538"/>
        <v>0</v>
      </c>
      <c r="E2911" s="6">
        <f t="shared" si="538"/>
        <v>0</v>
      </c>
      <c r="F2911" s="6">
        <f t="shared" si="538"/>
        <v>0</v>
      </c>
      <c r="G2911" s="6">
        <f t="shared" si="538"/>
        <v>0</v>
      </c>
      <c r="H2911" s="6">
        <f t="shared" si="538"/>
        <v>0</v>
      </c>
      <c r="I2911" s="6">
        <f t="shared" si="538"/>
        <v>0</v>
      </c>
      <c r="J2911" s="6">
        <f t="shared" si="538"/>
        <v>0</v>
      </c>
      <c r="K2911" s="6">
        <f t="shared" ref="K2911:S2911" si="539">100*B2298*B$585*K$2882*$E$14/$F$14*(1-K$2731)</f>
        <v>0</v>
      </c>
      <c r="L2911" s="6">
        <f t="shared" si="539"/>
        <v>0</v>
      </c>
      <c r="M2911" s="6">
        <f t="shared" si="539"/>
        <v>0</v>
      </c>
      <c r="N2911" s="6">
        <f t="shared" si="539"/>
        <v>0</v>
      </c>
      <c r="O2911" s="6">
        <f t="shared" si="539"/>
        <v>0</v>
      </c>
      <c r="P2911" s="6">
        <f t="shared" si="539"/>
        <v>0</v>
      </c>
      <c r="Q2911" s="6">
        <f t="shared" si="539"/>
        <v>0</v>
      </c>
      <c r="R2911" s="6">
        <f t="shared" si="539"/>
        <v>0</v>
      </c>
      <c r="S2911" s="6">
        <f t="shared" si="539"/>
        <v>0</v>
      </c>
      <c r="T2911" s="10"/>
    </row>
    <row r="2912" spans="1:20">
      <c r="A2912" s="11" t="s">
        <v>133</v>
      </c>
      <c r="B2912" s="6">
        <f t="shared" ref="B2912:J2912" si="540">100*B2299*B$586*B$2882*$E$14/$F$14*(1-B$2732)</f>
        <v>0</v>
      </c>
      <c r="C2912" s="6">
        <f t="shared" si="540"/>
        <v>0</v>
      </c>
      <c r="D2912" s="6">
        <f t="shared" si="540"/>
        <v>0</v>
      </c>
      <c r="E2912" s="6">
        <f t="shared" si="540"/>
        <v>0</v>
      </c>
      <c r="F2912" s="6">
        <f t="shared" si="540"/>
        <v>0</v>
      </c>
      <c r="G2912" s="6">
        <f t="shared" si="540"/>
        <v>0</v>
      </c>
      <c r="H2912" s="6">
        <f t="shared" si="540"/>
        <v>0</v>
      </c>
      <c r="I2912" s="6">
        <f t="shared" si="540"/>
        <v>0</v>
      </c>
      <c r="J2912" s="6">
        <f t="shared" si="540"/>
        <v>0</v>
      </c>
      <c r="K2912" s="6">
        <f t="shared" ref="K2912:S2912" si="541">100*B2299*B$586*K$2882*$E$14/$F$14*(1-K$2732)</f>
        <v>0</v>
      </c>
      <c r="L2912" s="6">
        <f t="shared" si="541"/>
        <v>0</v>
      </c>
      <c r="M2912" s="6">
        <f t="shared" si="541"/>
        <v>0</v>
      </c>
      <c r="N2912" s="6">
        <f t="shared" si="541"/>
        <v>0</v>
      </c>
      <c r="O2912" s="6">
        <f t="shared" si="541"/>
        <v>0</v>
      </c>
      <c r="P2912" s="6">
        <f t="shared" si="541"/>
        <v>0</v>
      </c>
      <c r="Q2912" s="6">
        <f t="shared" si="541"/>
        <v>0</v>
      </c>
      <c r="R2912" s="6">
        <f t="shared" si="541"/>
        <v>0</v>
      </c>
      <c r="S2912" s="6">
        <f t="shared" si="541"/>
        <v>0</v>
      </c>
      <c r="T2912" s="10"/>
    </row>
    <row r="2913" spans="1:20">
      <c r="A2913" s="11" t="s">
        <v>134</v>
      </c>
      <c r="B2913" s="6">
        <f t="shared" ref="B2913:J2913" si="542">100*B2300*B$587*B$2882*$E$14/$F$14*(1-B$2733)</f>
        <v>0</v>
      </c>
      <c r="C2913" s="6">
        <f t="shared" si="542"/>
        <v>0</v>
      </c>
      <c r="D2913" s="6">
        <f t="shared" si="542"/>
        <v>0</v>
      </c>
      <c r="E2913" s="6">
        <f t="shared" si="542"/>
        <v>0</v>
      </c>
      <c r="F2913" s="6">
        <f t="shared" si="542"/>
        <v>0</v>
      </c>
      <c r="G2913" s="6">
        <f t="shared" si="542"/>
        <v>0</v>
      </c>
      <c r="H2913" s="6">
        <f t="shared" si="542"/>
        <v>0</v>
      </c>
      <c r="I2913" s="6">
        <f t="shared" si="542"/>
        <v>0</v>
      </c>
      <c r="J2913" s="6">
        <f t="shared" si="542"/>
        <v>0</v>
      </c>
      <c r="K2913" s="6">
        <f t="shared" ref="K2913:S2913" si="543">100*B2300*B$587*K$2882*$E$14/$F$14*(1-K$2733)</f>
        <v>0</v>
      </c>
      <c r="L2913" s="6">
        <f t="shared" si="543"/>
        <v>0</v>
      </c>
      <c r="M2913" s="6">
        <f t="shared" si="543"/>
        <v>0</v>
      </c>
      <c r="N2913" s="6">
        <f t="shared" si="543"/>
        <v>0</v>
      </c>
      <c r="O2913" s="6">
        <f t="shared" si="543"/>
        <v>0</v>
      </c>
      <c r="P2913" s="6">
        <f t="shared" si="543"/>
        <v>0</v>
      </c>
      <c r="Q2913" s="6">
        <f t="shared" si="543"/>
        <v>0</v>
      </c>
      <c r="R2913" s="6">
        <f t="shared" si="543"/>
        <v>0</v>
      </c>
      <c r="S2913" s="6">
        <f t="shared" si="543"/>
        <v>0</v>
      </c>
      <c r="T2913" s="10"/>
    </row>
    <row r="2914" spans="1:20">
      <c r="A2914" s="11" t="s">
        <v>135</v>
      </c>
      <c r="B2914" s="6">
        <f t="shared" ref="B2914:J2914" si="544">100*B2301*B$588*B$2882*$E$14/$F$14*(1-B$2734)</f>
        <v>0</v>
      </c>
      <c r="C2914" s="6">
        <f t="shared" si="544"/>
        <v>0</v>
      </c>
      <c r="D2914" s="6">
        <f t="shared" si="544"/>
        <v>0</v>
      </c>
      <c r="E2914" s="6">
        <f t="shared" si="544"/>
        <v>0</v>
      </c>
      <c r="F2914" s="6">
        <f t="shared" si="544"/>
        <v>0</v>
      </c>
      <c r="G2914" s="6">
        <f t="shared" si="544"/>
        <v>0</v>
      </c>
      <c r="H2914" s="6">
        <f t="shared" si="544"/>
        <v>0</v>
      </c>
      <c r="I2914" s="6">
        <f t="shared" si="544"/>
        <v>0</v>
      </c>
      <c r="J2914" s="6">
        <f t="shared" si="544"/>
        <v>0</v>
      </c>
      <c r="K2914" s="6">
        <f t="shared" ref="K2914:S2914" si="545">100*B2301*B$588*K$2882*$E$14/$F$14*(1-K$2734)</f>
        <v>0</v>
      </c>
      <c r="L2914" s="6">
        <f t="shared" si="545"/>
        <v>0</v>
      </c>
      <c r="M2914" s="6">
        <f t="shared" si="545"/>
        <v>0</v>
      </c>
      <c r="N2914" s="6">
        <f t="shared" si="545"/>
        <v>0</v>
      </c>
      <c r="O2914" s="6">
        <f t="shared" si="545"/>
        <v>0</v>
      </c>
      <c r="P2914" s="6">
        <f t="shared" si="545"/>
        <v>0</v>
      </c>
      <c r="Q2914" s="6">
        <f t="shared" si="545"/>
        <v>0</v>
      </c>
      <c r="R2914" s="6">
        <f t="shared" si="545"/>
        <v>0</v>
      </c>
      <c r="S2914" s="6">
        <f t="shared" si="545"/>
        <v>0</v>
      </c>
      <c r="T2914" s="10"/>
    </row>
    <row r="2916" spans="1:20" ht="21" customHeight="1">
      <c r="A2916" s="1" t="s">
        <v>1616</v>
      </c>
    </row>
    <row r="2917" spans="1:20">
      <c r="A2917" s="2" t="s">
        <v>255</v>
      </c>
    </row>
    <row r="2918" spans="1:20">
      <c r="A2918" s="12" t="s">
        <v>731</v>
      </c>
    </row>
    <row r="2919" spans="1:20">
      <c r="A2919" s="12" t="s">
        <v>737</v>
      </c>
    </row>
    <row r="2920" spans="1:20">
      <c r="A2920" s="2" t="s">
        <v>1609</v>
      </c>
    </row>
    <row r="2922" spans="1:20" ht="30">
      <c r="B2922" s="3" t="s">
        <v>60</v>
      </c>
      <c r="C2922" s="3" t="s">
        <v>220</v>
      </c>
      <c r="D2922" s="3" t="s">
        <v>221</v>
      </c>
      <c r="E2922" s="3" t="s">
        <v>222</v>
      </c>
      <c r="F2922" s="3" t="s">
        <v>223</v>
      </c>
      <c r="G2922" s="3" t="s">
        <v>224</v>
      </c>
      <c r="H2922" s="3" t="s">
        <v>225</v>
      </c>
      <c r="I2922" s="3" t="s">
        <v>226</v>
      </c>
      <c r="J2922" s="3" t="s">
        <v>227</v>
      </c>
      <c r="K2922" s="3" t="s">
        <v>208</v>
      </c>
      <c r="L2922" s="3" t="s">
        <v>624</v>
      </c>
      <c r="M2922" s="3" t="s">
        <v>625</v>
      </c>
      <c r="N2922" s="3" t="s">
        <v>626</v>
      </c>
      <c r="O2922" s="3" t="s">
        <v>627</v>
      </c>
      <c r="P2922" s="3" t="s">
        <v>628</v>
      </c>
      <c r="Q2922" s="3" t="s">
        <v>629</v>
      </c>
      <c r="R2922" s="3" t="s">
        <v>630</v>
      </c>
      <c r="S2922" s="3" t="s">
        <v>631</v>
      </c>
    </row>
    <row r="2923" spans="1:20">
      <c r="A2923" s="11" t="s">
        <v>92</v>
      </c>
      <c r="B2923" s="6">
        <f t="shared" ref="B2923:J2923" si="546">(1-B2283)*B$2766</f>
        <v>0</v>
      </c>
      <c r="C2923" s="6">
        <f t="shared" si="546"/>
        <v>0.4595832198527755</v>
      </c>
      <c r="D2923" s="6">
        <f t="shared" si="546"/>
        <v>4.0592992158920094E-2</v>
      </c>
      <c r="E2923" s="6">
        <f t="shared" si="546"/>
        <v>0.1204543037571434</v>
      </c>
      <c r="F2923" s="6">
        <f t="shared" si="546"/>
        <v>2.6198601393978446E-2</v>
      </c>
      <c r="G2923" s="6">
        <f t="shared" si="546"/>
        <v>8.436343811670936E-3</v>
      </c>
      <c r="H2923" s="6">
        <f t="shared" si="546"/>
        <v>0.12637511219231579</v>
      </c>
      <c r="I2923" s="6">
        <f t="shared" si="546"/>
        <v>9.7645375856718654E-3</v>
      </c>
      <c r="J2923" s="6">
        <f t="shared" si="546"/>
        <v>0</v>
      </c>
      <c r="K2923" s="6">
        <f t="shared" ref="K2923:S2923" si="547">(1-B2283)*K$2766</f>
        <v>0.1639274615594935</v>
      </c>
      <c r="L2923" s="6">
        <f t="shared" si="547"/>
        <v>0.24145106562704649</v>
      </c>
      <c r="M2923" s="6">
        <f t="shared" si="547"/>
        <v>2.1326325223321597E-2</v>
      </c>
      <c r="N2923" s="6">
        <f t="shared" si="547"/>
        <v>6.3283032854948545E-2</v>
      </c>
      <c r="O2923" s="6">
        <f t="shared" si="547"/>
        <v>5.5055797960079707E-2</v>
      </c>
      <c r="P2923" s="6">
        <f t="shared" si="547"/>
        <v>1.7728795267822145E-2</v>
      </c>
      <c r="Q2923" s="6">
        <f t="shared" si="547"/>
        <v>0.26557458313945392</v>
      </c>
      <c r="R2923" s="6">
        <f t="shared" si="547"/>
        <v>0.10259982974013193</v>
      </c>
      <c r="S2923" s="6">
        <f t="shared" si="547"/>
        <v>0</v>
      </c>
      <c r="T2923" s="10"/>
    </row>
    <row r="2924" spans="1:20">
      <c r="A2924" s="11" t="s">
        <v>93</v>
      </c>
      <c r="B2924" s="6">
        <f t="shared" ref="B2924:J2924" si="548">(1-B2284)*B$2767</f>
        <v>0</v>
      </c>
      <c r="C2924" s="6">
        <f t="shared" si="548"/>
        <v>0.27227444776635307</v>
      </c>
      <c r="D2924" s="6">
        <f t="shared" si="548"/>
        <v>2.4048820857285529E-2</v>
      </c>
      <c r="E2924" s="6">
        <f t="shared" si="548"/>
        <v>7.1361676449072611E-2</v>
      </c>
      <c r="F2924" s="6">
        <f t="shared" si="548"/>
        <v>1.5521040409354734E-2</v>
      </c>
      <c r="G2924" s="6">
        <f t="shared" si="548"/>
        <v>4.9980085287396336E-3</v>
      </c>
      <c r="H2924" s="6">
        <f t="shared" si="548"/>
        <v>7.4869386864464496E-2</v>
      </c>
      <c r="I2924" s="6">
        <f t="shared" si="548"/>
        <v>5.784880657053325E-3</v>
      </c>
      <c r="J2924" s="6">
        <f t="shared" si="548"/>
        <v>0</v>
      </c>
      <c r="K2924" s="6">
        <f t="shared" ref="K2924:S2924" si="549">(1-B2284)*K$2767</f>
        <v>9.7116816153882068E-2</v>
      </c>
      <c r="L2924" s="6">
        <f t="shared" si="549"/>
        <v>0.14304472556082715</v>
      </c>
      <c r="M2924" s="6">
        <f t="shared" si="549"/>
        <v>1.2634520087407989E-2</v>
      </c>
      <c r="N2924" s="6">
        <f t="shared" si="549"/>
        <v>3.7491257468191985E-2</v>
      </c>
      <c r="O2924" s="6">
        <f t="shared" si="549"/>
        <v>3.2617132955199392E-2</v>
      </c>
      <c r="P2924" s="6">
        <f t="shared" si="549"/>
        <v>1.050320754238011E-2</v>
      </c>
      <c r="Q2924" s="6">
        <f t="shared" si="549"/>
        <v>0.15733640794857132</v>
      </c>
      <c r="R2924" s="6">
        <f t="shared" si="549"/>
        <v>6.0784012071557265E-2</v>
      </c>
      <c r="S2924" s="6">
        <f t="shared" si="549"/>
        <v>0</v>
      </c>
      <c r="T2924" s="10"/>
    </row>
    <row r="2925" spans="1:20">
      <c r="A2925" s="11" t="s">
        <v>129</v>
      </c>
      <c r="B2925" s="6">
        <f t="shared" ref="B2925:J2925" si="550">(1-B2285)*B$2768</f>
        <v>0</v>
      </c>
      <c r="C2925" s="6">
        <f t="shared" si="550"/>
        <v>0</v>
      </c>
      <c r="D2925" s="6">
        <f t="shared" si="550"/>
        <v>0</v>
      </c>
      <c r="E2925" s="6">
        <f t="shared" si="550"/>
        <v>0</v>
      </c>
      <c r="F2925" s="6">
        <f t="shared" si="550"/>
        <v>0</v>
      </c>
      <c r="G2925" s="6">
        <f t="shared" si="550"/>
        <v>0</v>
      </c>
      <c r="H2925" s="6">
        <f t="shared" si="550"/>
        <v>0</v>
      </c>
      <c r="I2925" s="6">
        <f t="shared" si="550"/>
        <v>0</v>
      </c>
      <c r="J2925" s="6">
        <f t="shared" si="550"/>
        <v>0</v>
      </c>
      <c r="K2925" s="6">
        <f t="shared" ref="K2925:S2925" si="551">(1-B2285)*K$2768</f>
        <v>0</v>
      </c>
      <c r="L2925" s="6">
        <f t="shared" si="551"/>
        <v>0</v>
      </c>
      <c r="M2925" s="6">
        <f t="shared" si="551"/>
        <v>0</v>
      </c>
      <c r="N2925" s="6">
        <f t="shared" si="551"/>
        <v>0</v>
      </c>
      <c r="O2925" s="6">
        <f t="shared" si="551"/>
        <v>0</v>
      </c>
      <c r="P2925" s="6">
        <f t="shared" si="551"/>
        <v>0</v>
      </c>
      <c r="Q2925" s="6">
        <f t="shared" si="551"/>
        <v>0</v>
      </c>
      <c r="R2925" s="6">
        <f t="shared" si="551"/>
        <v>0</v>
      </c>
      <c r="S2925" s="6">
        <f t="shared" si="551"/>
        <v>0</v>
      </c>
      <c r="T2925" s="10"/>
    </row>
    <row r="2926" spans="1:20">
      <c r="A2926" s="11" t="s">
        <v>94</v>
      </c>
      <c r="B2926" s="6">
        <f t="shared" ref="B2926:J2926" si="552">(1-B2286)*B$2769</f>
        <v>0</v>
      </c>
      <c r="C2926" s="6">
        <f t="shared" si="552"/>
        <v>0.36146021878238083</v>
      </c>
      <c r="D2926" s="6">
        <f t="shared" si="552"/>
        <v>3.1926213127396269E-2</v>
      </c>
      <c r="E2926" s="6">
        <f t="shared" si="552"/>
        <v>9.4736790005701219E-2</v>
      </c>
      <c r="F2926" s="6">
        <f t="shared" si="552"/>
        <v>2.060508691917301E-2</v>
      </c>
      <c r="G2926" s="6">
        <f t="shared" si="552"/>
        <v>6.6351479953224097E-3</v>
      </c>
      <c r="H2926" s="6">
        <f t="shared" si="552"/>
        <v>9.9393480284844932E-2</v>
      </c>
      <c r="I2926" s="6">
        <f t="shared" si="552"/>
        <v>7.6797666658856333E-3</v>
      </c>
      <c r="J2926" s="6">
        <f t="shared" si="552"/>
        <v>0</v>
      </c>
      <c r="K2926" s="6">
        <f t="shared" ref="K2926:S2926" si="553">(1-B2286)*K$2769</f>
        <v>0.12892824098041752</v>
      </c>
      <c r="L2926" s="6">
        <f t="shared" si="553"/>
        <v>0.18990022097575537</v>
      </c>
      <c r="M2926" s="6">
        <f t="shared" si="553"/>
        <v>1.6773062740444347E-2</v>
      </c>
      <c r="N2926" s="6">
        <f t="shared" si="553"/>
        <v>4.9771832201118929E-2</v>
      </c>
      <c r="O2926" s="6">
        <f t="shared" si="553"/>
        <v>4.3301147466315151E-2</v>
      </c>
      <c r="P2926" s="6">
        <f t="shared" si="553"/>
        <v>1.3943620957936354E-2</v>
      </c>
      <c r="Q2926" s="6">
        <f t="shared" si="553"/>
        <v>0.20887326337845377</v>
      </c>
      <c r="R2926" s="6">
        <f t="shared" si="553"/>
        <v>8.0694323253976269E-2</v>
      </c>
      <c r="S2926" s="6">
        <f t="shared" si="553"/>
        <v>0</v>
      </c>
      <c r="T2926" s="10"/>
    </row>
    <row r="2927" spans="1:20">
      <c r="A2927" s="11" t="s">
        <v>95</v>
      </c>
      <c r="B2927" s="6">
        <f t="shared" ref="B2927:J2927" si="554">(1-B2287)*B$2770</f>
        <v>0</v>
      </c>
      <c r="C2927" s="6">
        <f t="shared" si="554"/>
        <v>0.31066914464599971</v>
      </c>
      <c r="D2927" s="6">
        <f t="shared" si="554"/>
        <v>2.7440057878251795E-2</v>
      </c>
      <c r="E2927" s="6">
        <f t="shared" si="554"/>
        <v>8.1424721140055722E-2</v>
      </c>
      <c r="F2927" s="6">
        <f t="shared" si="554"/>
        <v>1.7709735113035866E-2</v>
      </c>
      <c r="G2927" s="6">
        <f t="shared" si="554"/>
        <v>5.7028011526421164E-3</v>
      </c>
      <c r="H2927" s="6">
        <f t="shared" si="554"/>
        <v>8.5427070252708431E-2</v>
      </c>
      <c r="I2927" s="6">
        <f t="shared" si="554"/>
        <v>6.6006338102948337E-3</v>
      </c>
      <c r="J2927" s="6">
        <f t="shared" si="554"/>
        <v>0</v>
      </c>
      <c r="K2927" s="6">
        <f t="shared" ref="K2927:S2927" si="555">(1-B2287)*K$2770</f>
        <v>0.11081171388936271</v>
      </c>
      <c r="L2927" s="6">
        <f t="shared" si="555"/>
        <v>0.16321613320923489</v>
      </c>
      <c r="M2927" s="6">
        <f t="shared" si="555"/>
        <v>1.4416173022361749E-2</v>
      </c>
      <c r="N2927" s="6">
        <f t="shared" si="555"/>
        <v>4.2778075522316814E-2</v>
      </c>
      <c r="O2927" s="6">
        <f t="shared" si="555"/>
        <v>3.7216627851513244E-2</v>
      </c>
      <c r="P2927" s="6">
        <f t="shared" si="555"/>
        <v>1.1984314099245701E-2</v>
      </c>
      <c r="Q2927" s="6">
        <f t="shared" si="555"/>
        <v>0.17952315276019498</v>
      </c>
      <c r="R2927" s="6">
        <f t="shared" si="555"/>
        <v>6.9355450698140822E-2</v>
      </c>
      <c r="S2927" s="6">
        <f t="shared" si="555"/>
        <v>0</v>
      </c>
      <c r="T2927" s="10"/>
    </row>
    <row r="2928" spans="1:20">
      <c r="A2928" s="11" t="s">
        <v>130</v>
      </c>
      <c r="B2928" s="6">
        <f t="shared" ref="B2928:J2928" si="556">(1-B2288)*B$2771</f>
        <v>0</v>
      </c>
      <c r="C2928" s="6">
        <f t="shared" si="556"/>
        <v>0</v>
      </c>
      <c r="D2928" s="6">
        <f t="shared" si="556"/>
        <v>0</v>
      </c>
      <c r="E2928" s="6">
        <f t="shared" si="556"/>
        <v>0</v>
      </c>
      <c r="F2928" s="6">
        <f t="shared" si="556"/>
        <v>0</v>
      </c>
      <c r="G2928" s="6">
        <f t="shared" si="556"/>
        <v>0</v>
      </c>
      <c r="H2928" s="6">
        <f t="shared" si="556"/>
        <v>0</v>
      </c>
      <c r="I2928" s="6">
        <f t="shared" si="556"/>
        <v>0</v>
      </c>
      <c r="J2928" s="6">
        <f t="shared" si="556"/>
        <v>0</v>
      </c>
      <c r="K2928" s="6">
        <f t="shared" ref="K2928:S2928" si="557">(1-B2288)*K$2771</f>
        <v>0</v>
      </c>
      <c r="L2928" s="6">
        <f t="shared" si="557"/>
        <v>0</v>
      </c>
      <c r="M2928" s="6">
        <f t="shared" si="557"/>
        <v>0</v>
      </c>
      <c r="N2928" s="6">
        <f t="shared" si="557"/>
        <v>0</v>
      </c>
      <c r="O2928" s="6">
        <f t="shared" si="557"/>
        <v>0</v>
      </c>
      <c r="P2928" s="6">
        <f t="shared" si="557"/>
        <v>0</v>
      </c>
      <c r="Q2928" s="6">
        <f t="shared" si="557"/>
        <v>0</v>
      </c>
      <c r="R2928" s="6">
        <f t="shared" si="557"/>
        <v>0</v>
      </c>
      <c r="S2928" s="6">
        <f t="shared" si="557"/>
        <v>0</v>
      </c>
      <c r="T2928" s="10"/>
    </row>
    <row r="2929" spans="1:20">
      <c r="A2929" s="11" t="s">
        <v>96</v>
      </c>
      <c r="B2929" s="6">
        <f t="shared" ref="B2929:J2929" si="558">(1-B2289)*B$2772</f>
        <v>0</v>
      </c>
      <c r="C2929" s="6">
        <f t="shared" si="558"/>
        <v>0.33583921582780152</v>
      </c>
      <c r="D2929" s="6">
        <f t="shared" si="558"/>
        <v>2.9663221079139861E-2</v>
      </c>
      <c r="E2929" s="6">
        <f t="shared" si="558"/>
        <v>8.8021662170002166E-2</v>
      </c>
      <c r="F2929" s="6">
        <f t="shared" si="558"/>
        <v>1.914455830384194E-2</v>
      </c>
      <c r="G2929" s="6">
        <f t="shared" si="558"/>
        <v>6.1648358072623026E-3</v>
      </c>
      <c r="H2929" s="6">
        <f t="shared" si="558"/>
        <v>9.2348277189958541E-2</v>
      </c>
      <c r="I2929" s="6">
        <f t="shared" si="558"/>
        <v>7.1354098758080022E-3</v>
      </c>
      <c r="J2929" s="6">
        <f t="shared" si="558"/>
        <v>0</v>
      </c>
      <c r="K2929" s="6">
        <f t="shared" ref="K2929:S2929" si="559">(1-B2289)*K$2772</f>
        <v>0.11978955663441831</v>
      </c>
      <c r="L2929" s="6">
        <f t="shared" si="559"/>
        <v>0.17643972416345094</v>
      </c>
      <c r="M2929" s="6">
        <f t="shared" si="559"/>
        <v>1.5584155448023884E-2</v>
      </c>
      <c r="N2929" s="6">
        <f t="shared" si="559"/>
        <v>4.6243907982582898E-2</v>
      </c>
      <c r="O2929" s="6">
        <f t="shared" si="559"/>
        <v>4.0231877960231359E-2</v>
      </c>
      <c r="P2929" s="6">
        <f t="shared" si="559"/>
        <v>1.2955269999249237E-2</v>
      </c>
      <c r="Q2929" s="6">
        <f t="shared" si="559"/>
        <v>0.19406792043869886</v>
      </c>
      <c r="R2929" s="6">
        <f t="shared" si="559"/>
        <v>7.4974552758975715E-2</v>
      </c>
      <c r="S2929" s="6">
        <f t="shared" si="559"/>
        <v>0</v>
      </c>
      <c r="T2929" s="10"/>
    </row>
    <row r="2930" spans="1:20">
      <c r="A2930" s="11" t="s">
        <v>97</v>
      </c>
      <c r="B2930" s="6">
        <f t="shared" ref="B2930:J2930" si="560">(1-B2290)*B$2773</f>
        <v>0</v>
      </c>
      <c r="C2930" s="6">
        <f t="shared" si="560"/>
        <v>0.32933910197306993</v>
      </c>
      <c r="D2930" s="6">
        <f t="shared" si="560"/>
        <v>2.9089094219543619E-2</v>
      </c>
      <c r="E2930" s="6">
        <f t="shared" si="560"/>
        <v>8.6318017095744048E-2</v>
      </c>
      <c r="F2930" s="6">
        <f t="shared" si="560"/>
        <v>1.8774018465703066E-2</v>
      </c>
      <c r="G2930" s="6">
        <f t="shared" si="560"/>
        <v>6.0455164045410984E-3</v>
      </c>
      <c r="H2930" s="6">
        <f t="shared" si="560"/>
        <v>9.0560891179830294E-2</v>
      </c>
      <c r="I2930" s="6">
        <f t="shared" si="560"/>
        <v>0</v>
      </c>
      <c r="J2930" s="6">
        <f t="shared" si="560"/>
        <v>0</v>
      </c>
      <c r="K2930" s="6">
        <f t="shared" ref="K2930:S2930" si="561">(1-B2290)*K$2773</f>
        <v>0.1174710490866554</v>
      </c>
      <c r="L2930" s="6">
        <f t="shared" si="561"/>
        <v>0.17302476176028742</v>
      </c>
      <c r="M2930" s="6">
        <f t="shared" si="561"/>
        <v>1.5282526632900842E-2</v>
      </c>
      <c r="N2930" s="6">
        <f t="shared" si="561"/>
        <v>4.5348864602274844E-2</v>
      </c>
      <c r="O2930" s="6">
        <f t="shared" si="561"/>
        <v>3.9453196451323669E-2</v>
      </c>
      <c r="P2930" s="6">
        <f t="shared" si="561"/>
        <v>1.2704522837973445E-2</v>
      </c>
      <c r="Q2930" s="6">
        <f t="shared" si="561"/>
        <v>0.19031176713988529</v>
      </c>
      <c r="R2930" s="6">
        <f t="shared" si="561"/>
        <v>0</v>
      </c>
      <c r="S2930" s="6">
        <f t="shared" si="561"/>
        <v>0</v>
      </c>
      <c r="T2930" s="10"/>
    </row>
    <row r="2931" spans="1:20">
      <c r="A2931" s="11" t="s">
        <v>110</v>
      </c>
      <c r="B2931" s="6">
        <f t="shared" ref="B2931:J2931" si="562">(1-B2291)*B$2774</f>
        <v>0</v>
      </c>
      <c r="C2931" s="6">
        <f t="shared" si="562"/>
        <v>0.29432598980813984</v>
      </c>
      <c r="D2931" s="6">
        <f t="shared" si="562"/>
        <v>1.7699770490056669E-2</v>
      </c>
      <c r="E2931" s="6">
        <f t="shared" si="562"/>
        <v>4.2017371327430164E-2</v>
      </c>
      <c r="F2931" s="6">
        <f t="shared" si="562"/>
        <v>0</v>
      </c>
      <c r="G2931" s="6">
        <f t="shared" si="562"/>
        <v>0</v>
      </c>
      <c r="H2931" s="6">
        <f t="shared" si="562"/>
        <v>0</v>
      </c>
      <c r="I2931" s="6">
        <f t="shared" si="562"/>
        <v>0</v>
      </c>
      <c r="J2931" s="6">
        <f t="shared" si="562"/>
        <v>0</v>
      </c>
      <c r="K2931" s="6">
        <f t="shared" ref="K2931:S2931" si="563">(1-B2291)*K$2774</f>
        <v>0.11168331851704839</v>
      </c>
      <c r="L2931" s="6">
        <f t="shared" si="563"/>
        <v>0.15462993601828179</v>
      </c>
      <c r="M2931" s="6">
        <f t="shared" si="563"/>
        <v>1.4529565394691205E-2</v>
      </c>
      <c r="N2931" s="6">
        <f t="shared" si="563"/>
        <v>3.44916418412251E-2</v>
      </c>
      <c r="O2931" s="6">
        <f t="shared" si="563"/>
        <v>0</v>
      </c>
      <c r="P2931" s="6">
        <f t="shared" si="563"/>
        <v>0</v>
      </c>
      <c r="Q2931" s="6">
        <f t="shared" si="563"/>
        <v>0</v>
      </c>
      <c r="R2931" s="6">
        <f t="shared" si="563"/>
        <v>0</v>
      </c>
      <c r="S2931" s="6">
        <f t="shared" si="563"/>
        <v>0</v>
      </c>
      <c r="T2931" s="10"/>
    </row>
    <row r="2932" spans="1:20">
      <c r="A2932" s="11" t="s">
        <v>1647</v>
      </c>
      <c r="B2932" s="6">
        <f t="shared" ref="B2932:J2932" si="564">(1-B2292)*B$2775</f>
        <v>0</v>
      </c>
      <c r="C2932" s="6">
        <f t="shared" si="564"/>
        <v>0.4535864618959205</v>
      </c>
      <c r="D2932" s="6">
        <f t="shared" si="564"/>
        <v>4.0063324542248764E-2</v>
      </c>
      <c r="E2932" s="6">
        <f t="shared" si="564"/>
        <v>0.11888258557142617</v>
      </c>
      <c r="F2932" s="6">
        <f t="shared" si="564"/>
        <v>2.5856755424453842E-2</v>
      </c>
      <c r="G2932" s="6">
        <f t="shared" si="564"/>
        <v>8.3262642663480928E-3</v>
      </c>
      <c r="H2932" s="6">
        <f t="shared" si="564"/>
        <v>0.12472613780236635</v>
      </c>
      <c r="I2932" s="6">
        <f t="shared" si="564"/>
        <v>9.6371274324451132E-3</v>
      </c>
      <c r="J2932" s="6">
        <f t="shared" si="564"/>
        <v>0</v>
      </c>
      <c r="K2932" s="6">
        <f t="shared" ref="K2932:S2932" si="565">(1-B2292)*K$2775</f>
        <v>0.16178849462817507</v>
      </c>
      <c r="L2932" s="6">
        <f t="shared" si="565"/>
        <v>0.23830055112511594</v>
      </c>
      <c r="M2932" s="6">
        <f t="shared" si="565"/>
        <v>2.1048053944151743E-2</v>
      </c>
      <c r="N2932" s="6">
        <f t="shared" si="565"/>
        <v>6.2457299855104904E-2</v>
      </c>
      <c r="O2932" s="6">
        <f t="shared" si="565"/>
        <v>5.4337415999585421E-2</v>
      </c>
      <c r="P2932" s="6">
        <f t="shared" si="565"/>
        <v>1.7497465468353349E-2</v>
      </c>
      <c r="Q2932" s="6">
        <f t="shared" si="565"/>
        <v>0.26210929888671258</v>
      </c>
      <c r="R2932" s="6">
        <f t="shared" si="565"/>
        <v>0.10126108124195304</v>
      </c>
      <c r="S2932" s="6">
        <f t="shared" si="565"/>
        <v>0</v>
      </c>
      <c r="T2932" s="10"/>
    </row>
    <row r="2933" spans="1:20">
      <c r="A2933" s="11" t="s">
        <v>1646</v>
      </c>
      <c r="B2933" s="6">
        <f t="shared" ref="B2933:J2933" si="566">(1-B2293)*B$2776</f>
        <v>0</v>
      </c>
      <c r="C2933" s="6">
        <f t="shared" si="566"/>
        <v>0.35076240038605405</v>
      </c>
      <c r="D2933" s="6">
        <f t="shared" si="566"/>
        <v>3.0981321235088372E-2</v>
      </c>
      <c r="E2933" s="6">
        <f t="shared" si="566"/>
        <v>9.1932949023293936E-2</v>
      </c>
      <c r="F2933" s="6">
        <f t="shared" si="566"/>
        <v>1.999525638610803E-2</v>
      </c>
      <c r="G2933" s="6">
        <f t="shared" si="566"/>
        <v>6.4387733886621798E-3</v>
      </c>
      <c r="H2933" s="6">
        <f t="shared" si="566"/>
        <v>9.6451819358926189E-2</v>
      </c>
      <c r="I2933" s="6">
        <f t="shared" si="566"/>
        <v>7.4524754043615773E-3</v>
      </c>
      <c r="J2933" s="6">
        <f t="shared" si="566"/>
        <v>0</v>
      </c>
      <c r="K2933" s="6">
        <f t="shared" ref="K2933:S2933" si="567">(1-B2293)*K$2776</f>
        <v>0.12511246586465921</v>
      </c>
      <c r="L2933" s="6">
        <f t="shared" si="567"/>
        <v>0.18427991209566794</v>
      </c>
      <c r="M2933" s="6">
        <f t="shared" si="567"/>
        <v>1.6276645237705271E-2</v>
      </c>
      <c r="N2933" s="6">
        <f t="shared" si="567"/>
        <v>4.8298779304914649E-2</v>
      </c>
      <c r="O2933" s="6">
        <f t="shared" si="567"/>
        <v>4.2019601703111545E-2</v>
      </c>
      <c r="P2933" s="6">
        <f t="shared" si="567"/>
        <v>1.353094394109145E-2</v>
      </c>
      <c r="Q2933" s="6">
        <f t="shared" si="567"/>
        <v>0.20269142614336894</v>
      </c>
      <c r="R2933" s="6">
        <f t="shared" si="567"/>
        <v>7.8306084739946991E-2</v>
      </c>
      <c r="S2933" s="6">
        <f t="shared" si="567"/>
        <v>0</v>
      </c>
      <c r="T2933" s="10"/>
    </row>
    <row r="2934" spans="1:20">
      <c r="A2934" s="11" t="s">
        <v>98</v>
      </c>
      <c r="B2934" s="6">
        <f t="shared" ref="B2934:J2934" si="568">(1-B2294)*B$2777</f>
        <v>0</v>
      </c>
      <c r="C2934" s="6">
        <f t="shared" si="568"/>
        <v>0.30695270969509725</v>
      </c>
      <c r="D2934" s="6">
        <f t="shared" si="568"/>
        <v>2.7111801300760897E-2</v>
      </c>
      <c r="E2934" s="6">
        <f t="shared" si="568"/>
        <v>8.0450663417467261E-2</v>
      </c>
      <c r="F2934" s="6">
        <f t="shared" si="568"/>
        <v>1.7497879253902164E-2</v>
      </c>
      <c r="G2934" s="6">
        <f t="shared" si="568"/>
        <v>5.6345803785904282E-3</v>
      </c>
      <c r="H2934" s="6">
        <f t="shared" si="568"/>
        <v>6.7524106973060952E-2</v>
      </c>
      <c r="I2934" s="6">
        <f t="shared" si="568"/>
        <v>0</v>
      </c>
      <c r="J2934" s="6">
        <f t="shared" si="568"/>
        <v>0</v>
      </c>
      <c r="K2934" s="6">
        <f t="shared" ref="K2934:S2934" si="569">(1-B2294)*K$2777</f>
        <v>0.10948610903427777</v>
      </c>
      <c r="L2934" s="6">
        <f t="shared" si="569"/>
        <v>0.16126363115853676</v>
      </c>
      <c r="M2934" s="6">
        <f t="shared" si="569"/>
        <v>1.4243716986086849E-2</v>
      </c>
      <c r="N2934" s="6">
        <f t="shared" si="569"/>
        <v>4.2266335178148935E-2</v>
      </c>
      <c r="O2934" s="6">
        <f t="shared" si="569"/>
        <v>3.6771417315205564E-2</v>
      </c>
      <c r="P2934" s="6">
        <f t="shared" si="569"/>
        <v>1.1840949608279659E-2</v>
      </c>
      <c r="Q2934" s="6">
        <f t="shared" si="569"/>
        <v>0.14190046006799867</v>
      </c>
      <c r="R2934" s="6">
        <f t="shared" si="569"/>
        <v>0</v>
      </c>
      <c r="S2934" s="6">
        <f t="shared" si="569"/>
        <v>0</v>
      </c>
      <c r="T2934" s="10"/>
    </row>
    <row r="2935" spans="1:20">
      <c r="A2935" s="11" t="s">
        <v>99</v>
      </c>
      <c r="B2935" s="6">
        <f t="shared" ref="B2935:J2935" si="570">(1-B2295)*B$2778</f>
        <v>0</v>
      </c>
      <c r="C2935" s="6">
        <f t="shared" si="570"/>
        <v>0.30101168950745028</v>
      </c>
      <c r="D2935" s="6">
        <f t="shared" si="570"/>
        <v>2.658705675945585E-2</v>
      </c>
      <c r="E2935" s="6">
        <f t="shared" si="570"/>
        <v>7.889355380293564E-2</v>
      </c>
      <c r="F2935" s="6">
        <f t="shared" si="570"/>
        <v>1.7159210623181483E-2</v>
      </c>
      <c r="G2935" s="6">
        <f t="shared" si="570"/>
        <v>5.5255239841660976E-3</v>
      </c>
      <c r="H2935" s="6">
        <f t="shared" si="570"/>
        <v>0</v>
      </c>
      <c r="I2935" s="6">
        <f t="shared" si="570"/>
        <v>0</v>
      </c>
      <c r="J2935" s="6">
        <f t="shared" si="570"/>
        <v>0</v>
      </c>
      <c r="K2935" s="6">
        <f t="shared" ref="K2935:S2935" si="571">(1-B2295)*K$2778</f>
        <v>0.10736702305296918</v>
      </c>
      <c r="L2935" s="6">
        <f t="shared" si="571"/>
        <v>0.15814239958772638</v>
      </c>
      <c r="M2935" s="6">
        <f t="shared" si="571"/>
        <v>1.3968032141194846E-2</v>
      </c>
      <c r="N2935" s="6">
        <f t="shared" si="571"/>
        <v>4.1448277077926692E-2</v>
      </c>
      <c r="O2935" s="6">
        <f t="shared" si="571"/>
        <v>3.605971246394353E-2</v>
      </c>
      <c r="P2935" s="6">
        <f t="shared" si="571"/>
        <v>1.1611769938441988E-2</v>
      </c>
      <c r="Q2935" s="6">
        <f t="shared" si="571"/>
        <v>0</v>
      </c>
      <c r="R2935" s="6">
        <f t="shared" si="571"/>
        <v>0</v>
      </c>
      <c r="S2935" s="6">
        <f t="shared" si="571"/>
        <v>0</v>
      </c>
      <c r="T2935" s="10"/>
    </row>
    <row r="2936" spans="1:20">
      <c r="A2936" s="11" t="s">
        <v>111</v>
      </c>
      <c r="B2936" s="6">
        <f t="shared" ref="B2936:J2936" si="572">(1-B2296)*B$2779</f>
        <v>0</v>
      </c>
      <c r="C2936" s="6">
        <f t="shared" si="572"/>
        <v>0.2460359821296646</v>
      </c>
      <c r="D2936" s="6">
        <f t="shared" si="572"/>
        <v>1.479577260176536E-2</v>
      </c>
      <c r="E2936" s="6">
        <f t="shared" si="572"/>
        <v>3.5123589417944044E-2</v>
      </c>
      <c r="F2936" s="6">
        <f t="shared" si="572"/>
        <v>0</v>
      </c>
      <c r="G2936" s="6">
        <f t="shared" si="572"/>
        <v>0</v>
      </c>
      <c r="H2936" s="6">
        <f t="shared" si="572"/>
        <v>0</v>
      </c>
      <c r="I2936" s="6">
        <f t="shared" si="572"/>
        <v>0</v>
      </c>
      <c r="J2936" s="6">
        <f t="shared" si="572"/>
        <v>0</v>
      </c>
      <c r="K2936" s="6">
        <f t="shared" ref="K2936:S2936" si="573">(1-B2296)*K$2779</f>
        <v>9.335945825495777E-2</v>
      </c>
      <c r="L2936" s="6">
        <f t="shared" si="573"/>
        <v>0.12925983260841137</v>
      </c>
      <c r="M2936" s="6">
        <f t="shared" si="573"/>
        <v>1.2145702437390302E-2</v>
      </c>
      <c r="N2936" s="6">
        <f t="shared" si="573"/>
        <v>2.8832604899085797E-2</v>
      </c>
      <c r="O2936" s="6">
        <f t="shared" si="573"/>
        <v>0</v>
      </c>
      <c r="P2936" s="6">
        <f t="shared" si="573"/>
        <v>0</v>
      </c>
      <c r="Q2936" s="6">
        <f t="shared" si="573"/>
        <v>0</v>
      </c>
      <c r="R2936" s="6">
        <f t="shared" si="573"/>
        <v>0</v>
      </c>
      <c r="S2936" s="6">
        <f t="shared" si="573"/>
        <v>0</v>
      </c>
      <c r="T2936" s="10"/>
    </row>
    <row r="2937" spans="1:20">
      <c r="A2937" s="11" t="s">
        <v>131</v>
      </c>
      <c r="B2937" s="6">
        <f t="shared" ref="B2937:J2937" si="574">(1-B2297)*B$2780</f>
        <v>0</v>
      </c>
      <c r="C2937" s="6">
        <f t="shared" si="574"/>
        <v>0.23581411526422724</v>
      </c>
      <c r="D2937" s="6">
        <f t="shared" si="574"/>
        <v>2.0828437850602798E-2</v>
      </c>
      <c r="E2937" s="6">
        <f t="shared" si="574"/>
        <v>6.180561831513029E-2</v>
      </c>
      <c r="F2937" s="6">
        <f t="shared" si="574"/>
        <v>1.3442614399325242E-2</v>
      </c>
      <c r="G2937" s="6">
        <f t="shared" si="574"/>
        <v>4.3287240832058987E-3</v>
      </c>
      <c r="H2937" s="6">
        <f t="shared" si="574"/>
        <v>6.4843610440335431E-2</v>
      </c>
      <c r="I2937" s="6">
        <f t="shared" si="574"/>
        <v>5.0102259879443228E-3</v>
      </c>
      <c r="J2937" s="6">
        <f t="shared" si="574"/>
        <v>1.0318793907376533E-2</v>
      </c>
      <c r="K2937" s="6">
        <f t="shared" ref="K2937:S2937" si="575">(1-B2297)*K$2780</f>
        <v>8.4111881472839475E-2</v>
      </c>
      <c r="L2937" s="6">
        <f t="shared" si="575"/>
        <v>0.1238895742074448</v>
      </c>
      <c r="M2937" s="6">
        <f t="shared" si="575"/>
        <v>1.0942628662521183E-2</v>
      </c>
      <c r="N2937" s="6">
        <f t="shared" si="575"/>
        <v>3.2470794753357644E-2</v>
      </c>
      <c r="O2937" s="6">
        <f t="shared" si="575"/>
        <v>2.8249365349503491E-2</v>
      </c>
      <c r="P2937" s="6">
        <f t="shared" si="575"/>
        <v>9.0967206594735079E-3</v>
      </c>
      <c r="Q2937" s="6">
        <f t="shared" si="575"/>
        <v>0.13626745419416791</v>
      </c>
      <c r="R2937" s="6">
        <f t="shared" si="575"/>
        <v>5.2644411352050891E-2</v>
      </c>
      <c r="S2937" s="6">
        <f t="shared" si="575"/>
        <v>0.10842361850026069</v>
      </c>
      <c r="T2937" s="10"/>
    </row>
    <row r="2938" spans="1:20">
      <c r="A2938" s="11" t="s">
        <v>132</v>
      </c>
      <c r="B2938" s="6">
        <f t="shared" ref="B2938:J2938" si="576">(1-B2298)*B$2781</f>
        <v>0</v>
      </c>
      <c r="C2938" s="6">
        <f t="shared" si="576"/>
        <v>0.49539627523599522</v>
      </c>
      <c r="D2938" s="6">
        <f t="shared" si="576"/>
        <v>4.3756203985547949E-2</v>
      </c>
      <c r="E2938" s="6">
        <f t="shared" si="576"/>
        <v>0.12984071402030237</v>
      </c>
      <c r="F2938" s="6">
        <f t="shared" si="576"/>
        <v>2.8240129287416357E-2</v>
      </c>
      <c r="G2938" s="6">
        <f t="shared" si="576"/>
        <v>9.0937465085231851E-3</v>
      </c>
      <c r="H2938" s="6">
        <f t="shared" si="576"/>
        <v>0.13622290187761771</v>
      </c>
      <c r="I2938" s="6">
        <f t="shared" si="576"/>
        <v>1.052543987766421E-2</v>
      </c>
      <c r="J2938" s="6">
        <f t="shared" si="576"/>
        <v>2.1677633931770347E-2</v>
      </c>
      <c r="K2938" s="6">
        <f t="shared" ref="K2938:S2938" si="577">(1-B2298)*K$2781</f>
        <v>0.17670152076370338</v>
      </c>
      <c r="L2938" s="6">
        <f t="shared" si="577"/>
        <v>0.26026615724072399</v>
      </c>
      <c r="M2938" s="6">
        <f t="shared" si="577"/>
        <v>2.2988180646563629E-2</v>
      </c>
      <c r="N2938" s="6">
        <f t="shared" si="577"/>
        <v>6.8214367730878939E-2</v>
      </c>
      <c r="O2938" s="6">
        <f t="shared" si="577"/>
        <v>5.9346024966503742E-2</v>
      </c>
      <c r="P2938" s="6">
        <f t="shared" si="577"/>
        <v>1.9110312911150534E-2</v>
      </c>
      <c r="Q2938" s="6">
        <f t="shared" si="577"/>
        <v>0.28626950158620562</v>
      </c>
      <c r="R2938" s="6">
        <f t="shared" si="577"/>
        <v>0.11059492883441421</v>
      </c>
      <c r="S2938" s="6">
        <f t="shared" si="577"/>
        <v>0.22777540984963185</v>
      </c>
      <c r="T2938" s="10"/>
    </row>
    <row r="2939" spans="1:20">
      <c r="A2939" s="11" t="s">
        <v>133</v>
      </c>
      <c r="B2939" s="6">
        <f t="shared" ref="B2939:J2939" si="578">(1-B2299)*B$2782</f>
        <v>0</v>
      </c>
      <c r="C2939" s="6">
        <f t="shared" si="578"/>
        <v>0.72156559511991636</v>
      </c>
      <c r="D2939" s="6">
        <f t="shared" si="578"/>
        <v>6.3732758898882996E-2</v>
      </c>
      <c r="E2939" s="6">
        <f t="shared" si="578"/>
        <v>0.18911848305323511</v>
      </c>
      <c r="F2939" s="6">
        <f t="shared" si="578"/>
        <v>4.1132940868057161E-2</v>
      </c>
      <c r="G2939" s="6">
        <f t="shared" si="578"/>
        <v>1.3245425812227467E-2</v>
      </c>
      <c r="H2939" s="6">
        <f t="shared" si="578"/>
        <v>0.19841440918275041</v>
      </c>
      <c r="I2939" s="6">
        <f t="shared" si="578"/>
        <v>1.533074766379237E-2</v>
      </c>
      <c r="J2939" s="6">
        <f t="shared" si="578"/>
        <v>3.157438925296352E-2</v>
      </c>
      <c r="K2939" s="6">
        <f t="shared" ref="K2939:S2939" si="579">(1-B2299)*K$2782</f>
        <v>0.25737322697413717</v>
      </c>
      <c r="L2939" s="6">
        <f t="shared" si="579"/>
        <v>0.37908864887914956</v>
      </c>
      <c r="M2939" s="6">
        <f t="shared" si="579"/>
        <v>3.3483255886532337E-2</v>
      </c>
      <c r="N2939" s="6">
        <f t="shared" si="579"/>
        <v>9.9357107245129556E-2</v>
      </c>
      <c r="O2939" s="6">
        <f t="shared" si="579"/>
        <v>8.6439991504896271E-2</v>
      </c>
      <c r="P2939" s="6">
        <f t="shared" si="579"/>
        <v>2.7834977770257219E-2</v>
      </c>
      <c r="Q2939" s="6">
        <f t="shared" si="579"/>
        <v>0.41696361802141302</v>
      </c>
      <c r="R2939" s="6">
        <f t="shared" si="579"/>
        <v>0.16108618419392295</v>
      </c>
      <c r="S2939" s="6">
        <f t="shared" si="579"/>
        <v>0.33176450324245499</v>
      </c>
      <c r="T2939" s="10"/>
    </row>
    <row r="2940" spans="1:20">
      <c r="A2940" s="11" t="s">
        <v>134</v>
      </c>
      <c r="B2940" s="6">
        <f t="shared" ref="B2940:J2940" si="580">(1-B2300)*B$2783</f>
        <v>0</v>
      </c>
      <c r="C2940" s="6">
        <f t="shared" si="580"/>
        <v>0</v>
      </c>
      <c r="D2940" s="6">
        <f t="shared" si="580"/>
        <v>0</v>
      </c>
      <c r="E2940" s="6">
        <f t="shared" si="580"/>
        <v>0</v>
      </c>
      <c r="F2940" s="6">
        <f t="shared" si="580"/>
        <v>0</v>
      </c>
      <c r="G2940" s="6">
        <f t="shared" si="580"/>
        <v>0</v>
      </c>
      <c r="H2940" s="6">
        <f t="shared" si="580"/>
        <v>0</v>
      </c>
      <c r="I2940" s="6">
        <f t="shared" si="580"/>
        <v>0</v>
      </c>
      <c r="J2940" s="6">
        <f t="shared" si="580"/>
        <v>0</v>
      </c>
      <c r="K2940" s="6">
        <f t="shared" ref="K2940:S2940" si="581">(1-B2300)*K$2783</f>
        <v>0</v>
      </c>
      <c r="L2940" s="6">
        <f t="shared" si="581"/>
        <v>0</v>
      </c>
      <c r="M2940" s="6">
        <f t="shared" si="581"/>
        <v>0</v>
      </c>
      <c r="N2940" s="6">
        <f t="shared" si="581"/>
        <v>0</v>
      </c>
      <c r="O2940" s="6">
        <f t="shared" si="581"/>
        <v>0</v>
      </c>
      <c r="P2940" s="6">
        <f t="shared" si="581"/>
        <v>0</v>
      </c>
      <c r="Q2940" s="6">
        <f t="shared" si="581"/>
        <v>0</v>
      </c>
      <c r="R2940" s="6">
        <f t="shared" si="581"/>
        <v>0</v>
      </c>
      <c r="S2940" s="6">
        <f t="shared" si="581"/>
        <v>0</v>
      </c>
      <c r="T2940" s="10"/>
    </row>
    <row r="2941" spans="1:20">
      <c r="A2941" s="11" t="s">
        <v>135</v>
      </c>
      <c r="B2941" s="6">
        <f t="shared" ref="B2941:J2941" si="582">(1-B2301)*B$2784</f>
        <v>0</v>
      </c>
      <c r="C2941" s="6">
        <f t="shared" si="582"/>
        <v>0.48673838793587587</v>
      </c>
      <c r="D2941" s="6">
        <f t="shared" si="582"/>
        <v>4.2991490357841645E-2</v>
      </c>
      <c r="E2941" s="6">
        <f t="shared" si="582"/>
        <v>0.12757152806726049</v>
      </c>
      <c r="F2941" s="6">
        <f t="shared" si="582"/>
        <v>2.7746585292571468E-2</v>
      </c>
      <c r="G2941" s="6">
        <f t="shared" si="582"/>
        <v>8.9348179167223259E-3</v>
      </c>
      <c r="H2941" s="6">
        <f t="shared" si="582"/>
        <v>0.13384217640367305</v>
      </c>
      <c r="I2941" s="6">
        <f t="shared" si="582"/>
        <v>1.0341490024182595E-2</v>
      </c>
      <c r="J2941" s="6">
        <f t="shared" si="582"/>
        <v>2.1298780636143322E-2</v>
      </c>
      <c r="K2941" s="6">
        <f t="shared" ref="K2941:S2941" si="583">(1-B2301)*K$2784</f>
        <v>0.17361336300191349</v>
      </c>
      <c r="L2941" s="6">
        <f t="shared" si="583"/>
        <v>0.2557175662034743</v>
      </c>
      <c r="M2941" s="6">
        <f t="shared" si="583"/>
        <v>2.2586423331820159E-2</v>
      </c>
      <c r="N2941" s="6">
        <f t="shared" si="583"/>
        <v>6.7022206349000371E-2</v>
      </c>
      <c r="O2941" s="6">
        <f t="shared" si="583"/>
        <v>5.8308852864987049E-2</v>
      </c>
      <c r="P2941" s="6">
        <f t="shared" si="583"/>
        <v>1.8776327890015813E-2</v>
      </c>
      <c r="Q2941" s="6">
        <f t="shared" si="583"/>
        <v>0.28126645815190854</v>
      </c>
      <c r="R2941" s="6">
        <f t="shared" si="583"/>
        <v>0.10866209550950288</v>
      </c>
      <c r="S2941" s="6">
        <f t="shared" si="583"/>
        <v>0.22379464954359776</v>
      </c>
      <c r="T2941" s="10"/>
    </row>
    <row r="2943" spans="1:20" ht="21" customHeight="1">
      <c r="A2943" s="1" t="s">
        <v>1615</v>
      </c>
    </row>
    <row r="2944" spans="1:20">
      <c r="A2944" s="2" t="s">
        <v>255</v>
      </c>
    </row>
    <row r="2945" spans="1:20">
      <c r="A2945" s="12" t="s">
        <v>731</v>
      </c>
    </row>
    <row r="2946" spans="1:20">
      <c r="A2946" s="12" t="s">
        <v>1614</v>
      </c>
    </row>
    <row r="2947" spans="1:20">
      <c r="A2947" s="2" t="s">
        <v>1609</v>
      </c>
    </row>
    <row r="2949" spans="1:20" ht="30">
      <c r="B2949" s="3" t="s">
        <v>60</v>
      </c>
      <c r="C2949" s="3" t="s">
        <v>220</v>
      </c>
      <c r="D2949" s="3" t="s">
        <v>221</v>
      </c>
      <c r="E2949" s="3" t="s">
        <v>222</v>
      </c>
      <c r="F2949" s="3" t="s">
        <v>223</v>
      </c>
      <c r="G2949" s="3" t="s">
        <v>224</v>
      </c>
      <c r="H2949" s="3" t="s">
        <v>225</v>
      </c>
      <c r="I2949" s="3" t="s">
        <v>226</v>
      </c>
      <c r="J2949" s="3" t="s">
        <v>227</v>
      </c>
      <c r="K2949" s="3" t="s">
        <v>208</v>
      </c>
      <c r="L2949" s="3" t="s">
        <v>624</v>
      </c>
      <c r="M2949" s="3" t="s">
        <v>625</v>
      </c>
      <c r="N2949" s="3" t="s">
        <v>626</v>
      </c>
      <c r="O2949" s="3" t="s">
        <v>627</v>
      </c>
      <c r="P2949" s="3" t="s">
        <v>628</v>
      </c>
      <c r="Q2949" s="3" t="s">
        <v>629</v>
      </c>
      <c r="R2949" s="3" t="s">
        <v>630</v>
      </c>
      <c r="S2949" s="3" t="s">
        <v>631</v>
      </c>
    </row>
    <row r="2950" spans="1:20">
      <c r="A2950" s="11" t="s">
        <v>92</v>
      </c>
      <c r="B2950" s="6">
        <f t="shared" ref="B2950:J2950" si="584">(1-B$2283)*B$2804</f>
        <v>0</v>
      </c>
      <c r="C2950" s="6">
        <f t="shared" si="584"/>
        <v>0.4595832198527755</v>
      </c>
      <c r="D2950" s="6">
        <f t="shared" si="584"/>
        <v>4.0592992158920101E-2</v>
      </c>
      <c r="E2950" s="6">
        <f t="shared" si="584"/>
        <v>0.12045430375714339</v>
      </c>
      <c r="F2950" s="6">
        <f t="shared" si="584"/>
        <v>2.6198601393978449E-2</v>
      </c>
      <c r="G2950" s="6">
        <f t="shared" si="584"/>
        <v>8.4363438116709395E-3</v>
      </c>
      <c r="H2950" s="6">
        <f t="shared" si="584"/>
        <v>0.12637511219231581</v>
      </c>
      <c r="I2950" s="6">
        <f t="shared" si="584"/>
        <v>9.7645375856718671E-3</v>
      </c>
      <c r="J2950" s="6">
        <f t="shared" si="584"/>
        <v>0</v>
      </c>
      <c r="K2950" s="6">
        <f t="shared" ref="K2950:S2950" si="585">(1-B$2283)*K$2804</f>
        <v>0.16392746155949353</v>
      </c>
      <c r="L2950" s="6">
        <f t="shared" si="585"/>
        <v>0.24145106562704655</v>
      </c>
      <c r="M2950" s="6">
        <f t="shared" si="585"/>
        <v>2.1326325223321597E-2</v>
      </c>
      <c r="N2950" s="6">
        <f t="shared" si="585"/>
        <v>6.3283032854948545E-2</v>
      </c>
      <c r="O2950" s="6">
        <f t="shared" si="585"/>
        <v>5.50557979600797E-2</v>
      </c>
      <c r="P2950" s="6">
        <f t="shared" si="585"/>
        <v>1.7728795267822148E-2</v>
      </c>
      <c r="Q2950" s="6">
        <f t="shared" si="585"/>
        <v>0.26557458313945392</v>
      </c>
      <c r="R2950" s="6">
        <f t="shared" si="585"/>
        <v>0.10259982974013192</v>
      </c>
      <c r="S2950" s="6">
        <f t="shared" si="585"/>
        <v>0</v>
      </c>
      <c r="T2950" s="10"/>
    </row>
    <row r="2951" spans="1:20">
      <c r="A2951" s="11" t="s">
        <v>93</v>
      </c>
      <c r="B2951" s="6">
        <f t="shared" ref="B2951:J2951" si="586">(1-B$2284)*B$2805</f>
        <v>0</v>
      </c>
      <c r="C2951" s="6">
        <f t="shared" si="586"/>
        <v>0.49003584765678648</v>
      </c>
      <c r="D2951" s="6">
        <f t="shared" si="586"/>
        <v>4.3282740670762467E-2</v>
      </c>
      <c r="E2951" s="6">
        <f t="shared" si="586"/>
        <v>0.12789094733505676</v>
      </c>
      <c r="F2951" s="6">
        <f t="shared" si="586"/>
        <v>2.7816058427308304E-2</v>
      </c>
      <c r="G2951" s="6">
        <f t="shared" si="586"/>
        <v>8.9953477679202212E-3</v>
      </c>
      <c r="H2951" s="6">
        <f t="shared" si="586"/>
        <v>0.13417729639976328</v>
      </c>
      <c r="I2951" s="6">
        <f t="shared" si="586"/>
        <v>1.0367383507011347E-2</v>
      </c>
      <c r="J2951" s="6">
        <f t="shared" si="586"/>
        <v>0</v>
      </c>
      <c r="K2951" s="6">
        <f t="shared" ref="K2951:S2951" si="587">(1-B$2284)*K$2805</f>
        <v>0.18104141512406793</v>
      </c>
      <c r="L2951" s="6">
        <f t="shared" si="587"/>
        <v>0.25744995139310584</v>
      </c>
      <c r="M2951" s="6">
        <f t="shared" si="587"/>
        <v>2.2739437400613773E-2</v>
      </c>
      <c r="N2951" s="6">
        <f t="shared" si="587"/>
        <v>6.7190019531161216E-2</v>
      </c>
      <c r="O2951" s="6">
        <f t="shared" si="587"/>
        <v>5.8454849165026315E-2</v>
      </c>
      <c r="P2951" s="6">
        <f t="shared" si="587"/>
        <v>1.8903530071841861E-2</v>
      </c>
      <c r="Q2951" s="6">
        <f t="shared" si="587"/>
        <v>0.281970705623736</v>
      </c>
      <c r="R2951" s="6">
        <f t="shared" si="587"/>
        <v>0.10893416849875605</v>
      </c>
      <c r="S2951" s="6">
        <f t="shared" si="587"/>
        <v>0</v>
      </c>
      <c r="T2951" s="10"/>
    </row>
    <row r="2952" spans="1:20">
      <c r="A2952" s="11" t="s">
        <v>129</v>
      </c>
      <c r="B2952" s="6">
        <f t="shared" ref="B2952:J2952" si="588">(1-B$2285)*B$2806</f>
        <v>0</v>
      </c>
      <c r="C2952" s="6">
        <f t="shared" si="588"/>
        <v>5.7955356154345279E-2</v>
      </c>
      <c r="D2952" s="6">
        <f t="shared" si="588"/>
        <v>5.1189452014683947E-3</v>
      </c>
      <c r="E2952" s="6">
        <f t="shared" si="588"/>
        <v>1.4828693755631938E-2</v>
      </c>
      <c r="F2952" s="6">
        <f t="shared" si="588"/>
        <v>3.2252150797404742E-3</v>
      </c>
      <c r="G2952" s="6">
        <f t="shared" si="588"/>
        <v>1.0638580547012182E-3</v>
      </c>
      <c r="H2952" s="6">
        <f t="shared" si="588"/>
        <v>1.5557583071599837E-2</v>
      </c>
      <c r="I2952" s="6">
        <f t="shared" si="588"/>
        <v>1.2020769122140969E-3</v>
      </c>
      <c r="J2952" s="6">
        <f t="shared" si="588"/>
        <v>0</v>
      </c>
      <c r="K2952" s="6">
        <f t="shared" ref="K2952:S2952" si="589">(1-B$2285)*K$2806</f>
        <v>1.300731700956788E-2</v>
      </c>
      <c r="L2952" s="6">
        <f t="shared" si="589"/>
        <v>3.0447983951077163E-2</v>
      </c>
      <c r="M2952" s="6">
        <f t="shared" si="589"/>
        <v>2.6893383404575492E-3</v>
      </c>
      <c r="N2952" s="6">
        <f t="shared" si="589"/>
        <v>7.7905453343170847E-3</v>
      </c>
      <c r="O2952" s="6">
        <f t="shared" si="589"/>
        <v>6.7777201972623723E-3</v>
      </c>
      <c r="P2952" s="6">
        <f t="shared" si="589"/>
        <v>2.2356748452723096E-3</v>
      </c>
      <c r="Q2952" s="6">
        <f t="shared" si="589"/>
        <v>3.2693926574798964E-2</v>
      </c>
      <c r="R2952" s="6">
        <f t="shared" si="589"/>
        <v>1.2630694023717429E-2</v>
      </c>
      <c r="S2952" s="6">
        <f t="shared" si="589"/>
        <v>0</v>
      </c>
      <c r="T2952" s="10"/>
    </row>
    <row r="2953" spans="1:20">
      <c r="A2953" s="11" t="s">
        <v>94</v>
      </c>
      <c r="B2953" s="6">
        <f t="shared" ref="B2953:J2953" si="590">(1-B$2286)*B$2807</f>
        <v>0</v>
      </c>
      <c r="C2953" s="6">
        <f t="shared" si="590"/>
        <v>0.36146021878238083</v>
      </c>
      <c r="D2953" s="6">
        <f t="shared" si="590"/>
        <v>3.1926213127396269E-2</v>
      </c>
      <c r="E2953" s="6">
        <f t="shared" si="590"/>
        <v>9.4736790005701205E-2</v>
      </c>
      <c r="F2953" s="6">
        <f t="shared" si="590"/>
        <v>2.060508691917301E-2</v>
      </c>
      <c r="G2953" s="6">
        <f t="shared" si="590"/>
        <v>6.6351479953224097E-3</v>
      </c>
      <c r="H2953" s="6">
        <f t="shared" si="590"/>
        <v>9.9393480284844918E-2</v>
      </c>
      <c r="I2953" s="6">
        <f t="shared" si="590"/>
        <v>7.6797666658856342E-3</v>
      </c>
      <c r="J2953" s="6">
        <f t="shared" si="590"/>
        <v>0</v>
      </c>
      <c r="K2953" s="6">
        <f t="shared" ref="K2953:S2953" si="591">(1-B$2286)*K$2807</f>
        <v>0.12892824098041752</v>
      </c>
      <c r="L2953" s="6">
        <f t="shared" si="591"/>
        <v>0.18990022097575537</v>
      </c>
      <c r="M2953" s="6">
        <f t="shared" si="591"/>
        <v>1.6773062740444347E-2</v>
      </c>
      <c r="N2953" s="6">
        <f t="shared" si="591"/>
        <v>4.9771832201118929E-2</v>
      </c>
      <c r="O2953" s="6">
        <f t="shared" si="591"/>
        <v>4.3301147466315151E-2</v>
      </c>
      <c r="P2953" s="6">
        <f t="shared" si="591"/>
        <v>1.3943620957936354E-2</v>
      </c>
      <c r="Q2953" s="6">
        <f t="shared" si="591"/>
        <v>0.2088732633784538</v>
      </c>
      <c r="R2953" s="6">
        <f t="shared" si="591"/>
        <v>8.0694323253976255E-2</v>
      </c>
      <c r="S2953" s="6">
        <f t="shared" si="591"/>
        <v>0</v>
      </c>
      <c r="T2953" s="10"/>
    </row>
    <row r="2954" spans="1:20">
      <c r="A2954" s="11" t="s">
        <v>95</v>
      </c>
      <c r="B2954" s="6">
        <f t="shared" ref="B2954:J2954" si="592">(1-B$2287)*B$2808</f>
        <v>0</v>
      </c>
      <c r="C2954" s="6">
        <f t="shared" si="592"/>
        <v>0.45124433032085204</v>
      </c>
      <c r="D2954" s="6">
        <f t="shared" si="592"/>
        <v>3.9856454220281029E-2</v>
      </c>
      <c r="E2954" s="6">
        <f t="shared" si="592"/>
        <v>0.12105886569662579</v>
      </c>
      <c r="F2954" s="6">
        <f t="shared" si="592"/>
        <v>2.6330092563462963E-2</v>
      </c>
      <c r="G2954" s="6">
        <f t="shared" si="592"/>
        <v>8.2832709054813138E-3</v>
      </c>
      <c r="H2954" s="6">
        <f t="shared" si="592"/>
        <v>0.12700939075726711</v>
      </c>
      <c r="I2954" s="6">
        <f t="shared" si="592"/>
        <v>9.8135459448322384E-3</v>
      </c>
      <c r="J2954" s="6">
        <f t="shared" si="592"/>
        <v>0</v>
      </c>
      <c r="K2954" s="6">
        <f t="shared" ref="K2954:S2954" si="593">(1-B$2287)*K$2808</f>
        <v>0.16947258272938118</v>
      </c>
      <c r="L2954" s="6">
        <f t="shared" si="593"/>
        <v>0.23707006632886909</v>
      </c>
      <c r="M2954" s="6">
        <f t="shared" si="593"/>
        <v>2.0939370559885189E-2</v>
      </c>
      <c r="N2954" s="6">
        <f t="shared" si="593"/>
        <v>6.3600651336694541E-2</v>
      </c>
      <c r="O2954" s="6">
        <f t="shared" si="593"/>
        <v>5.5332123827701703E-2</v>
      </c>
      <c r="P2954" s="6">
        <f t="shared" si="593"/>
        <v>1.7407115844191721E-2</v>
      </c>
      <c r="Q2954" s="6">
        <f t="shared" si="593"/>
        <v>0.26690750591640772</v>
      </c>
      <c r="R2954" s="6">
        <f t="shared" si="593"/>
        <v>0.10311477980935747</v>
      </c>
      <c r="S2954" s="6">
        <f t="shared" si="593"/>
        <v>0</v>
      </c>
      <c r="T2954" s="10"/>
    </row>
    <row r="2955" spans="1:20">
      <c r="A2955" s="11" t="s">
        <v>130</v>
      </c>
      <c r="B2955" s="6">
        <f t="shared" ref="B2955:J2955" si="594">(1-B$2288)*B$2809</f>
        <v>0</v>
      </c>
      <c r="C2955" s="6">
        <f t="shared" si="594"/>
        <v>5.9231457874346138E-2</v>
      </c>
      <c r="D2955" s="6">
        <f t="shared" si="594"/>
        <v>5.2316577307260411E-3</v>
      </c>
      <c r="E2955" s="6">
        <f t="shared" si="594"/>
        <v>1.5264804143749052E-2</v>
      </c>
      <c r="F2955" s="6">
        <f t="shared" si="594"/>
        <v>3.3200683300244086E-3</v>
      </c>
      <c r="G2955" s="6">
        <f t="shared" si="594"/>
        <v>1.0872828282428644E-3</v>
      </c>
      <c r="H2955" s="6">
        <f t="shared" si="594"/>
        <v>1.6015130021002764E-2</v>
      </c>
      <c r="I2955" s="6">
        <f t="shared" si="594"/>
        <v>1.2374298729921293E-3</v>
      </c>
      <c r="J2955" s="6">
        <f t="shared" si="594"/>
        <v>0</v>
      </c>
      <c r="K2955" s="6">
        <f t="shared" ref="K2955:S2955" si="595">(1-B$2288)*K$2809</f>
        <v>1.3665954236421038E-2</v>
      </c>
      <c r="L2955" s="6">
        <f t="shared" si="595"/>
        <v>3.1118409038053622E-2</v>
      </c>
      <c r="M2955" s="6">
        <f t="shared" si="595"/>
        <v>2.7485540801172712E-3</v>
      </c>
      <c r="N2955" s="6">
        <f t="shared" si="595"/>
        <v>8.0196644870477556E-3</v>
      </c>
      <c r="O2955" s="6">
        <f t="shared" si="595"/>
        <v>6.9770522648394404E-3</v>
      </c>
      <c r="P2955" s="6">
        <f t="shared" si="595"/>
        <v>2.2849015035956021E-3</v>
      </c>
      <c r="Q2955" s="6">
        <f t="shared" si="595"/>
        <v>3.3655451658705461E-2</v>
      </c>
      <c r="R2955" s="6">
        <f t="shared" si="595"/>
        <v>1.3002161461351965E-2</v>
      </c>
      <c r="S2955" s="6">
        <f t="shared" si="595"/>
        <v>0</v>
      </c>
      <c r="T2955" s="10"/>
    </row>
    <row r="2956" spans="1:20">
      <c r="A2956" s="11" t="s">
        <v>96</v>
      </c>
      <c r="B2956" s="6">
        <f t="shared" ref="B2956:J2956" si="596">(1-B$2289)*B$2810</f>
        <v>0</v>
      </c>
      <c r="C2956" s="6">
        <f t="shared" si="596"/>
        <v>0.42080358295609266</v>
      </c>
      <c r="D2956" s="6">
        <f t="shared" si="596"/>
        <v>3.7167755056100947E-2</v>
      </c>
      <c r="E2956" s="6">
        <f t="shared" si="596"/>
        <v>0.11275697589987491</v>
      </c>
      <c r="F2956" s="6">
        <f t="shared" si="596"/>
        <v>2.4524445983658511E-2</v>
      </c>
      <c r="G2956" s="6">
        <f t="shared" si="596"/>
        <v>7.7244850326298317E-3</v>
      </c>
      <c r="H2956" s="6">
        <f t="shared" si="596"/>
        <v>0.11829943003566511</v>
      </c>
      <c r="I2956" s="6">
        <f t="shared" si="596"/>
        <v>9.1405594891891175E-3</v>
      </c>
      <c r="J2956" s="6">
        <f t="shared" si="596"/>
        <v>0</v>
      </c>
      <c r="K2956" s="6">
        <f t="shared" ref="K2956:S2956" si="597">(1-B$2289)*K$2810</f>
        <v>0.15812773401984928</v>
      </c>
      <c r="L2956" s="6">
        <f t="shared" si="597"/>
        <v>0.22107742218476958</v>
      </c>
      <c r="M2956" s="6">
        <f t="shared" si="597"/>
        <v>1.9526809677984862E-2</v>
      </c>
      <c r="N2956" s="6">
        <f t="shared" si="597"/>
        <v>5.9239090575651236E-2</v>
      </c>
      <c r="O2956" s="6">
        <f t="shared" si="597"/>
        <v>5.1537596334036637E-2</v>
      </c>
      <c r="P2956" s="6">
        <f t="shared" si="597"/>
        <v>1.6232839337747041E-2</v>
      </c>
      <c r="Q2956" s="6">
        <f t="shared" si="597"/>
        <v>0.2486037105909456</v>
      </c>
      <c r="R2956" s="6">
        <f t="shared" si="597"/>
        <v>9.6043446921283179E-2</v>
      </c>
      <c r="S2956" s="6">
        <f t="shared" si="597"/>
        <v>0</v>
      </c>
      <c r="T2956" s="10"/>
    </row>
    <row r="2957" spans="1:20">
      <c r="A2957" s="11" t="s">
        <v>97</v>
      </c>
      <c r="B2957" s="6">
        <f t="shared" ref="B2957:J2957" si="598">(1-B$2290)*B$2811</f>
        <v>0</v>
      </c>
      <c r="C2957" s="6">
        <f t="shared" si="598"/>
        <v>0.41747066454769044</v>
      </c>
      <c r="D2957" s="6">
        <f t="shared" si="598"/>
        <v>3.687337283113213E-2</v>
      </c>
      <c r="E2957" s="6">
        <f t="shared" si="598"/>
        <v>0.11208268567464537</v>
      </c>
      <c r="F2957" s="6">
        <f t="shared" si="598"/>
        <v>2.4377789033399093E-2</v>
      </c>
      <c r="G2957" s="6">
        <f t="shared" si="598"/>
        <v>7.6633042836927057E-3</v>
      </c>
      <c r="H2957" s="6">
        <f t="shared" si="598"/>
        <v>0.11759199576220511</v>
      </c>
      <c r="I2957" s="6">
        <f t="shared" si="598"/>
        <v>0</v>
      </c>
      <c r="J2957" s="6">
        <f t="shared" si="598"/>
        <v>0</v>
      </c>
      <c r="K2957" s="6">
        <f t="shared" ref="K2957:S2957" si="599">(1-B$2290)*K$2811</f>
        <v>0.15707860885005587</v>
      </c>
      <c r="L2957" s="6">
        <f t="shared" si="599"/>
        <v>0.219326408077652</v>
      </c>
      <c r="M2957" s="6">
        <f t="shared" si="599"/>
        <v>1.9372150197721084E-2</v>
      </c>
      <c r="N2957" s="6">
        <f t="shared" si="599"/>
        <v>5.8884838970303839E-2</v>
      </c>
      <c r="O2957" s="6">
        <f t="shared" si="599"/>
        <v>5.1229399903948605E-2</v>
      </c>
      <c r="P2957" s="6">
        <f t="shared" si="599"/>
        <v>1.6104269308306343E-2</v>
      </c>
      <c r="Q2957" s="6">
        <f t="shared" si="599"/>
        <v>0.24711705266428999</v>
      </c>
      <c r="R2957" s="6">
        <f t="shared" si="599"/>
        <v>0</v>
      </c>
      <c r="S2957" s="6">
        <f t="shared" si="599"/>
        <v>0</v>
      </c>
      <c r="T2957" s="10"/>
    </row>
    <row r="2958" spans="1:20">
      <c r="A2958" s="11" t="s">
        <v>110</v>
      </c>
      <c r="B2958" s="6">
        <f t="shared" ref="B2958:J2958" si="600">(1-B$2291)*B$2812</f>
        <v>0</v>
      </c>
      <c r="C2958" s="6">
        <f t="shared" si="600"/>
        <v>0.36268141221976169</v>
      </c>
      <c r="D2958" s="6">
        <f t="shared" si="600"/>
        <v>2.181043461871637E-2</v>
      </c>
      <c r="E2958" s="6">
        <f t="shared" si="600"/>
        <v>5.3245854209316906E-2</v>
      </c>
      <c r="F2958" s="6">
        <f t="shared" si="600"/>
        <v>0</v>
      </c>
      <c r="G2958" s="6">
        <f t="shared" si="600"/>
        <v>0</v>
      </c>
      <c r="H2958" s="6">
        <f t="shared" si="600"/>
        <v>0</v>
      </c>
      <c r="I2958" s="6">
        <f t="shared" si="600"/>
        <v>0</v>
      </c>
      <c r="J2958" s="6">
        <f t="shared" si="600"/>
        <v>0</v>
      </c>
      <c r="K2958" s="6">
        <f t="shared" ref="K2958:S2958" si="601">(1-B$2291)*K$2812</f>
        <v>0.14590714754974921</v>
      </c>
      <c r="L2958" s="6">
        <f t="shared" si="601"/>
        <v>0.19054179891867246</v>
      </c>
      <c r="M2958" s="6">
        <f t="shared" si="601"/>
        <v>1.7903968656390292E-2</v>
      </c>
      <c r="N2958" s="6">
        <f t="shared" si="601"/>
        <v>4.3708991659811465E-2</v>
      </c>
      <c r="O2958" s="6">
        <f t="shared" si="601"/>
        <v>0</v>
      </c>
      <c r="P2958" s="6">
        <f t="shared" si="601"/>
        <v>0</v>
      </c>
      <c r="Q2958" s="6">
        <f t="shared" si="601"/>
        <v>0</v>
      </c>
      <c r="R2958" s="6">
        <f t="shared" si="601"/>
        <v>0</v>
      </c>
      <c r="S2958" s="6">
        <f t="shared" si="601"/>
        <v>0</v>
      </c>
      <c r="T2958" s="10"/>
    </row>
    <row r="2959" spans="1:20">
      <c r="A2959" s="11" t="s">
        <v>1647</v>
      </c>
      <c r="B2959" s="6">
        <f t="shared" ref="B2959:J2959" si="602">(1-B$2292)*B$2813</f>
        <v>0</v>
      </c>
      <c r="C2959" s="6">
        <f t="shared" si="602"/>
        <v>2.8139411396464551</v>
      </c>
      <c r="D2959" s="6">
        <f t="shared" si="602"/>
        <v>0.2485432141189203</v>
      </c>
      <c r="E2959" s="6">
        <f t="shared" si="602"/>
        <v>0.68333382108114549</v>
      </c>
      <c r="F2959" s="6">
        <f t="shared" si="602"/>
        <v>0.14862391661507937</v>
      </c>
      <c r="G2959" s="6">
        <f t="shared" si="602"/>
        <v>5.1654137693424466E-2</v>
      </c>
      <c r="H2959" s="6">
        <f t="shared" si="602"/>
        <v>0.71692239804102753</v>
      </c>
      <c r="I2959" s="6">
        <f t="shared" si="602"/>
        <v>5.5393942527453444E-2</v>
      </c>
      <c r="J2959" s="6">
        <f t="shared" si="602"/>
        <v>0</v>
      </c>
      <c r="K2959" s="6">
        <f t="shared" ref="K2959:S2959" si="603">(1-B$2292)*K$2813</f>
        <v>0.99480636434252911</v>
      </c>
      <c r="L2959" s="6">
        <f t="shared" si="603"/>
        <v>1.4783592120640805</v>
      </c>
      <c r="M2959" s="6">
        <f t="shared" si="603"/>
        <v>0.13057705614797832</v>
      </c>
      <c r="N2959" s="6">
        <f t="shared" si="603"/>
        <v>0.35900283594317944</v>
      </c>
      <c r="O2959" s="6">
        <f t="shared" si="603"/>
        <v>0.31232996762477</v>
      </c>
      <c r="P2959" s="6">
        <f t="shared" si="603"/>
        <v>0.10855006058853794</v>
      </c>
      <c r="Q2959" s="6">
        <f t="shared" si="603"/>
        <v>1.5065970166130589</v>
      </c>
      <c r="R2959" s="6">
        <f t="shared" si="603"/>
        <v>0.58204590049312799</v>
      </c>
      <c r="S2959" s="6">
        <f t="shared" si="603"/>
        <v>0</v>
      </c>
      <c r="T2959" s="10"/>
    </row>
    <row r="2960" spans="1:20">
      <c r="A2960" s="11" t="s">
        <v>1646</v>
      </c>
      <c r="B2960" s="6">
        <f t="shared" ref="B2960:J2960" si="604">(1-B$2293)*B$2814</f>
        <v>0</v>
      </c>
      <c r="C2960" s="6">
        <f t="shared" si="604"/>
        <v>2.8496854297957395</v>
      </c>
      <c r="D2960" s="6">
        <f t="shared" si="604"/>
        <v>0.25170035221073506</v>
      </c>
      <c r="E2960" s="6">
        <f t="shared" si="604"/>
        <v>0.67171311184053428</v>
      </c>
      <c r="F2960" s="6">
        <f t="shared" si="604"/>
        <v>0.14609643258326002</v>
      </c>
      <c r="G2960" s="6">
        <f t="shared" si="604"/>
        <v>5.2310278100596186E-2</v>
      </c>
      <c r="H2960" s="6">
        <f t="shared" si="604"/>
        <v>0.70473048469107036</v>
      </c>
      <c r="I2960" s="6">
        <f t="shared" si="604"/>
        <v>5.4451918468430283E-2</v>
      </c>
      <c r="J2960" s="6">
        <f t="shared" si="604"/>
        <v>0</v>
      </c>
      <c r="K2960" s="6">
        <f t="shared" ref="K2960:S2960" si="605">(1-B$2293)*K$2814</f>
        <v>0.99743756110374526</v>
      </c>
      <c r="L2960" s="6">
        <f t="shared" si="605"/>
        <v>1.4971381765123295</v>
      </c>
      <c r="M2960" s="6">
        <f t="shared" si="605"/>
        <v>0.13223572061541597</v>
      </c>
      <c r="N2960" s="6">
        <f t="shared" si="605"/>
        <v>0.35289766824278679</v>
      </c>
      <c r="O2960" s="6">
        <f t="shared" si="605"/>
        <v>0.30701851423416432</v>
      </c>
      <c r="P2960" s="6">
        <f t="shared" si="605"/>
        <v>0.10992892555722261</v>
      </c>
      <c r="Q2960" s="6">
        <f t="shared" si="605"/>
        <v>1.4809759726478522</v>
      </c>
      <c r="R2960" s="6">
        <f t="shared" si="605"/>
        <v>0.572147683888513</v>
      </c>
      <c r="S2960" s="6">
        <f t="shared" si="605"/>
        <v>0</v>
      </c>
      <c r="T2960" s="10"/>
    </row>
    <row r="2961" spans="1:20">
      <c r="A2961" s="11" t="s">
        <v>98</v>
      </c>
      <c r="B2961" s="6">
        <f t="shared" ref="B2961:J2961" si="606">(1-B$2294)*B$2815</f>
        <v>0</v>
      </c>
      <c r="C2961" s="6">
        <f t="shared" si="606"/>
        <v>2.2922513159897684</v>
      </c>
      <c r="D2961" s="6">
        <f t="shared" si="606"/>
        <v>0.20246461506156527</v>
      </c>
      <c r="E2961" s="6">
        <f t="shared" si="606"/>
        <v>0.5530596069471404</v>
      </c>
      <c r="F2961" s="6">
        <f t="shared" si="606"/>
        <v>0.1202895018075205</v>
      </c>
      <c r="G2961" s="6">
        <f t="shared" si="606"/>
        <v>4.207773340950028E-2</v>
      </c>
      <c r="H2961" s="6">
        <f t="shared" si="606"/>
        <v>0.46419575023503817</v>
      </c>
      <c r="I2961" s="6">
        <f t="shared" si="606"/>
        <v>0</v>
      </c>
      <c r="J2961" s="6">
        <f t="shared" si="606"/>
        <v>0</v>
      </c>
      <c r="K2961" s="6">
        <f t="shared" ref="K2961:S2961" si="607">(1-B$2294)*K$2815</f>
        <v>0.8268771019014548</v>
      </c>
      <c r="L2961" s="6">
        <f t="shared" si="607"/>
        <v>1.2042792230491548</v>
      </c>
      <c r="M2961" s="6">
        <f t="shared" si="607"/>
        <v>0.10636875966456044</v>
      </c>
      <c r="N2961" s="6">
        <f t="shared" si="607"/>
        <v>0.29056072041847009</v>
      </c>
      <c r="O2961" s="6">
        <f t="shared" si="607"/>
        <v>0.25278580366338393</v>
      </c>
      <c r="P2961" s="6">
        <f t="shared" si="607"/>
        <v>8.8425452732144763E-2</v>
      </c>
      <c r="Q2961" s="6">
        <f t="shared" si="607"/>
        <v>0.97549739600763152</v>
      </c>
      <c r="R2961" s="6">
        <f t="shared" si="607"/>
        <v>0</v>
      </c>
      <c r="S2961" s="6">
        <f t="shared" si="607"/>
        <v>0</v>
      </c>
      <c r="T2961" s="10"/>
    </row>
    <row r="2962" spans="1:20">
      <c r="A2962" s="11" t="s">
        <v>99</v>
      </c>
      <c r="B2962" s="6">
        <f t="shared" ref="B2962:J2962" si="608">(1-B$2295)*B$2816</f>
        <v>0</v>
      </c>
      <c r="C2962" s="6">
        <f t="shared" si="608"/>
        <v>2.0312103657879397</v>
      </c>
      <c r="D2962" s="6">
        <f t="shared" si="608"/>
        <v>0.17940800031376319</v>
      </c>
      <c r="E2962" s="6">
        <f t="shared" si="608"/>
        <v>0.49007733082904664</v>
      </c>
      <c r="F2962" s="6">
        <f t="shared" si="608"/>
        <v>0.1065909663842433</v>
      </c>
      <c r="G2962" s="6">
        <f t="shared" si="608"/>
        <v>3.7285932687242902E-2</v>
      </c>
      <c r="H2962" s="6">
        <f t="shared" si="608"/>
        <v>0</v>
      </c>
      <c r="I2962" s="6">
        <f t="shared" si="608"/>
        <v>0</v>
      </c>
      <c r="J2962" s="6">
        <f t="shared" si="608"/>
        <v>0</v>
      </c>
      <c r="K2962" s="6">
        <f t="shared" ref="K2962:S2962" si="609">(1-B$2295)*K$2816</f>
        <v>0.73271256467343771</v>
      </c>
      <c r="L2962" s="6">
        <f t="shared" si="609"/>
        <v>1.0671362359341785</v>
      </c>
      <c r="M2962" s="6">
        <f t="shared" si="609"/>
        <v>9.4255514532607027E-2</v>
      </c>
      <c r="N2962" s="6">
        <f t="shared" si="609"/>
        <v>0.25747174539191858</v>
      </c>
      <c r="O2962" s="6">
        <f t="shared" si="609"/>
        <v>0.22399862578043445</v>
      </c>
      <c r="P2962" s="6">
        <f t="shared" si="609"/>
        <v>7.8355586464772087E-2</v>
      </c>
      <c r="Q2962" s="6">
        <f t="shared" si="609"/>
        <v>0</v>
      </c>
      <c r="R2962" s="6">
        <f t="shared" si="609"/>
        <v>0</v>
      </c>
      <c r="S2962" s="6">
        <f t="shared" si="609"/>
        <v>0</v>
      </c>
      <c r="T2962" s="10"/>
    </row>
    <row r="2963" spans="1:20">
      <c r="A2963" s="11" t="s">
        <v>111</v>
      </c>
      <c r="B2963" s="6">
        <f t="shared" ref="B2963:J2963" si="610">(1-B$2296)*B$2817</f>
        <v>0</v>
      </c>
      <c r="C2963" s="6">
        <f t="shared" si="610"/>
        <v>1.9422536446601895</v>
      </c>
      <c r="D2963" s="6">
        <f t="shared" si="610"/>
        <v>0.11680057125220508</v>
      </c>
      <c r="E2963" s="6">
        <f t="shared" si="610"/>
        <v>0.25524530499634496</v>
      </c>
      <c r="F2963" s="6">
        <f t="shared" si="610"/>
        <v>0</v>
      </c>
      <c r="G2963" s="6">
        <f t="shared" si="610"/>
        <v>0</v>
      </c>
      <c r="H2963" s="6">
        <f t="shared" si="610"/>
        <v>0</v>
      </c>
      <c r="I2963" s="6">
        <f t="shared" si="610"/>
        <v>0</v>
      </c>
      <c r="J2963" s="6">
        <f t="shared" si="610"/>
        <v>0</v>
      </c>
      <c r="K2963" s="6">
        <f t="shared" ref="K2963:S2963" si="611">(1-B$2296)*K$2817</f>
        <v>0.74534411411292978</v>
      </c>
      <c r="L2963" s="6">
        <f t="shared" si="611"/>
        <v>1.0204010763740368</v>
      </c>
      <c r="M2963" s="6">
        <f t="shared" si="611"/>
        <v>9.5880426195332547E-2</v>
      </c>
      <c r="N2963" s="6">
        <f t="shared" si="611"/>
        <v>0.20952832991341361</v>
      </c>
      <c r="O2963" s="6">
        <f t="shared" si="611"/>
        <v>0</v>
      </c>
      <c r="P2963" s="6">
        <f t="shared" si="611"/>
        <v>0</v>
      </c>
      <c r="Q2963" s="6">
        <f t="shared" si="611"/>
        <v>0</v>
      </c>
      <c r="R2963" s="6">
        <f t="shared" si="611"/>
        <v>0</v>
      </c>
      <c r="S2963" s="6">
        <f t="shared" si="611"/>
        <v>0</v>
      </c>
      <c r="T2963" s="10"/>
    </row>
    <row r="2964" spans="1:20">
      <c r="A2964" s="11" t="s">
        <v>131</v>
      </c>
      <c r="B2964" s="6">
        <f t="shared" ref="B2964:J2964" si="612">(1-B$2297)*B$2818</f>
        <v>0</v>
      </c>
      <c r="C2964" s="6">
        <f t="shared" si="612"/>
        <v>0.24671232844708907</v>
      </c>
      <c r="D2964" s="6">
        <f t="shared" si="612"/>
        <v>2.1791029745102049E-2</v>
      </c>
      <c r="E2964" s="6">
        <f t="shared" si="612"/>
        <v>6.4601344106455294E-2</v>
      </c>
      <c r="F2964" s="6">
        <f t="shared" si="612"/>
        <v>1.4050679892455826E-2</v>
      </c>
      <c r="G2964" s="6">
        <f t="shared" si="612"/>
        <v>4.5287772386996081E-3</v>
      </c>
      <c r="H2964" s="6">
        <f t="shared" si="612"/>
        <v>6.7776757281231878E-2</v>
      </c>
      <c r="I2964" s="6">
        <f t="shared" si="612"/>
        <v>5.2368593976036782E-3</v>
      </c>
      <c r="J2964" s="6">
        <f t="shared" si="612"/>
        <v>1.0785555976079237E-2</v>
      </c>
      <c r="K2964" s="6">
        <f t="shared" ref="K2964:S2964" si="613">(1-B$2297)*K$2818</f>
        <v>8.7645430298599156E-2</v>
      </c>
      <c r="L2964" s="6">
        <f t="shared" si="613"/>
        <v>0.1296151644221521</v>
      </c>
      <c r="M2964" s="6">
        <f t="shared" si="613"/>
        <v>1.1448345208841689E-2</v>
      </c>
      <c r="N2964" s="6">
        <f t="shared" si="613"/>
        <v>3.3939584174635211E-2</v>
      </c>
      <c r="O2964" s="6">
        <f t="shared" si="613"/>
        <v>2.9527201919206342E-2</v>
      </c>
      <c r="P2964" s="6">
        <f t="shared" si="613"/>
        <v>9.5171280676594125E-3</v>
      </c>
      <c r="Q2964" s="6">
        <f t="shared" si="613"/>
        <v>0.14243139926250112</v>
      </c>
      <c r="R2964" s="6">
        <f t="shared" si="613"/>
        <v>5.5025737558280628E-2</v>
      </c>
      <c r="S2964" s="6">
        <f t="shared" si="613"/>
        <v>0.11332807079591478</v>
      </c>
      <c r="T2964" s="10"/>
    </row>
    <row r="2965" spans="1:20">
      <c r="A2965" s="11" t="s">
        <v>132</v>
      </c>
      <c r="B2965" s="6">
        <f t="shared" ref="B2965:J2965" si="614">(1-B$2298)*B$2819</f>
        <v>0</v>
      </c>
      <c r="C2965" s="6">
        <f t="shared" si="614"/>
        <v>0.33999328727717509</v>
      </c>
      <c r="D2965" s="6">
        <f t="shared" si="614"/>
        <v>3.00301321900939E-2</v>
      </c>
      <c r="E2965" s="6">
        <f t="shared" si="614"/>
        <v>8.3659897615482939E-2</v>
      </c>
      <c r="F2965" s="6">
        <f t="shared" si="614"/>
        <v>1.8195882105699404E-2</v>
      </c>
      <c r="G2965" s="6">
        <f t="shared" si="614"/>
        <v>6.2410900599227633E-3</v>
      </c>
      <c r="H2965" s="6">
        <f t="shared" si="614"/>
        <v>8.7772114547856647E-2</v>
      </c>
      <c r="I2965" s="6">
        <f t="shared" si="614"/>
        <v>6.7818267110393588E-3</v>
      </c>
      <c r="J2965" s="6">
        <f t="shared" si="614"/>
        <v>1.3967488156251612E-2</v>
      </c>
      <c r="K2965" s="6">
        <f t="shared" ref="K2965:S2965" si="615">(1-B$2298)*K$2819</f>
        <v>9.0712585194316048E-2</v>
      </c>
      <c r="L2965" s="6">
        <f t="shared" si="615"/>
        <v>0.17862214713890998</v>
      </c>
      <c r="M2965" s="6">
        <f t="shared" si="615"/>
        <v>1.5776919402196613E-2</v>
      </c>
      <c r="N2965" s="6">
        <f t="shared" si="615"/>
        <v>4.3952369357564525E-2</v>
      </c>
      <c r="O2965" s="6">
        <f t="shared" si="615"/>
        <v>3.8238255311868273E-2</v>
      </c>
      <c r="P2965" s="6">
        <f t="shared" si="615"/>
        <v>1.3115516672914652E-2</v>
      </c>
      <c r="Q2965" s="6">
        <f t="shared" si="615"/>
        <v>0.18445121296385122</v>
      </c>
      <c r="R2965" s="6">
        <f t="shared" si="615"/>
        <v>7.1259315638328824E-2</v>
      </c>
      <c r="S2965" s="6">
        <f t="shared" si="615"/>
        <v>0.14676188136461765</v>
      </c>
      <c r="T2965" s="10"/>
    </row>
    <row r="2966" spans="1:20">
      <c r="A2966" s="11" t="s">
        <v>133</v>
      </c>
      <c r="B2966" s="6">
        <f t="shared" ref="B2966:J2966" si="616">(1-B$2299)*B$2820</f>
        <v>0</v>
      </c>
      <c r="C2966" s="6">
        <f t="shared" si="616"/>
        <v>0.56275020321613267</v>
      </c>
      <c r="D2966" s="6">
        <f t="shared" si="616"/>
        <v>4.9705284265820243E-2</v>
      </c>
      <c r="E2966" s="6">
        <f t="shared" si="616"/>
        <v>0.13979657675924545</v>
      </c>
      <c r="F2966" s="6">
        <f t="shared" si="616"/>
        <v>3.0405512103098969E-2</v>
      </c>
      <c r="G2966" s="6">
        <f t="shared" si="616"/>
        <v>1.0330129537670743E-2</v>
      </c>
      <c r="H2966" s="6">
        <f t="shared" si="616"/>
        <v>0.14666813489429698</v>
      </c>
      <c r="I2966" s="6">
        <f t="shared" si="616"/>
        <v>1.1332504406534848E-2</v>
      </c>
      <c r="J2966" s="6">
        <f t="shared" si="616"/>
        <v>2.3339820939583734E-2</v>
      </c>
      <c r="K2966" s="6">
        <f t="shared" ref="K2966:S2966" si="617">(1-B$2299)*K$2820</f>
        <v>0.1559732047970023</v>
      </c>
      <c r="L2966" s="6">
        <f t="shared" si="617"/>
        <v>0.29565186538337807</v>
      </c>
      <c r="M2966" s="6">
        <f t="shared" si="617"/>
        <v>2.6113646745244818E-2</v>
      </c>
      <c r="N2966" s="6">
        <f t="shared" si="617"/>
        <v>7.3444875642644028E-2</v>
      </c>
      <c r="O2966" s="6">
        <f t="shared" si="617"/>
        <v>6.3896530431037865E-2</v>
      </c>
      <c r="P2966" s="6">
        <f t="shared" si="617"/>
        <v>2.1708545283572703E-2</v>
      </c>
      <c r="Q2966" s="6">
        <f t="shared" si="617"/>
        <v>0.30821993435794987</v>
      </c>
      <c r="R2966" s="6">
        <f t="shared" si="617"/>
        <v>0.11907507267378369</v>
      </c>
      <c r="S2966" s="6">
        <f t="shared" si="617"/>
        <v>0.2452406612761979</v>
      </c>
      <c r="T2966" s="10"/>
    </row>
    <row r="2967" spans="1:20">
      <c r="A2967" s="11" t="s">
        <v>134</v>
      </c>
      <c r="B2967" s="6">
        <f t="shared" ref="B2967:J2967" si="618">(1-B$2300)*B$2821</f>
        <v>0</v>
      </c>
      <c r="C2967" s="6">
        <f t="shared" si="618"/>
        <v>0.16511629293072297</v>
      </c>
      <c r="D2967" s="6">
        <f t="shared" si="618"/>
        <v>1.4584005887756114E-2</v>
      </c>
      <c r="E2967" s="6">
        <f t="shared" si="618"/>
        <v>4.8011884981066788E-2</v>
      </c>
      <c r="F2967" s="6">
        <f t="shared" si="618"/>
        <v>1.0442501409734099E-2</v>
      </c>
      <c r="G2967" s="6">
        <f t="shared" si="618"/>
        <v>3.0309588250815194E-3</v>
      </c>
      <c r="H2967" s="6">
        <f t="shared" si="618"/>
        <v>5.0371860214144075E-2</v>
      </c>
      <c r="I2967" s="6">
        <f t="shared" si="618"/>
        <v>3.8920473642999991E-3</v>
      </c>
      <c r="J2967" s="6">
        <f t="shared" si="618"/>
        <v>8.0158529229212919E-3</v>
      </c>
      <c r="K2967" s="6">
        <f t="shared" ref="K2967:S2967" si="619">(1-B$2300)*K$2821</f>
        <v>8.5408044675781489E-2</v>
      </c>
      <c r="L2967" s="6">
        <f t="shared" si="619"/>
        <v>8.6747085529541135E-2</v>
      </c>
      <c r="M2967" s="6">
        <f t="shared" si="619"/>
        <v>7.661993759993822E-3</v>
      </c>
      <c r="N2967" s="6">
        <f t="shared" si="619"/>
        <v>2.5223986191565819E-2</v>
      </c>
      <c r="O2967" s="6">
        <f t="shared" si="619"/>
        <v>2.1944692358436706E-2</v>
      </c>
      <c r="P2967" s="6">
        <f t="shared" si="619"/>
        <v>6.3694948516359725E-3</v>
      </c>
      <c r="Q2967" s="6">
        <f t="shared" si="619"/>
        <v>0.1058553820151906</v>
      </c>
      <c r="R2967" s="6">
        <f t="shared" si="619"/>
        <v>4.0895269582828159E-2</v>
      </c>
      <c r="S2967" s="6">
        <f t="shared" si="619"/>
        <v>8.4225713496198812E-2</v>
      </c>
      <c r="T2967" s="10"/>
    </row>
    <row r="2968" spans="1:20">
      <c r="A2968" s="11" t="s">
        <v>135</v>
      </c>
      <c r="B2968" s="6">
        <f t="shared" ref="B2968:J2968" si="620">(1-B$2301)*B$2822</f>
        <v>0</v>
      </c>
      <c r="C2968" s="6">
        <f t="shared" si="620"/>
        <v>6.3871006675533044</v>
      </c>
      <c r="D2968" s="6">
        <f t="shared" si="620"/>
        <v>0.56414489501875331</v>
      </c>
      <c r="E2968" s="6">
        <f t="shared" si="620"/>
        <v>1.5581232276408183</v>
      </c>
      <c r="F2968" s="6">
        <f t="shared" si="620"/>
        <v>0.33888908980755394</v>
      </c>
      <c r="G2968" s="6">
        <f t="shared" si="620"/>
        <v>0.11724487505982911</v>
      </c>
      <c r="H2968" s="6">
        <f t="shared" si="620"/>
        <v>1.6347111855759182</v>
      </c>
      <c r="I2968" s="6">
        <f t="shared" si="620"/>
        <v>0.1263080881699494</v>
      </c>
      <c r="J2968" s="6">
        <f t="shared" si="620"/>
        <v>0.26013739376159567</v>
      </c>
      <c r="K2968" s="6">
        <f t="shared" ref="K2968:S2968" si="621">(1-B$2301)*K$2822</f>
        <v>1.5926087698140343</v>
      </c>
      <c r="L2968" s="6">
        <f t="shared" si="621"/>
        <v>3.3555887069636503</v>
      </c>
      <c r="M2968" s="6">
        <f t="shared" si="621"/>
        <v>0.29638459409804241</v>
      </c>
      <c r="N2968" s="6">
        <f t="shared" si="621"/>
        <v>0.81859062176518427</v>
      </c>
      <c r="O2968" s="6">
        <f t="shared" si="621"/>
        <v>0.71216814129659423</v>
      </c>
      <c r="P2968" s="6">
        <f t="shared" si="621"/>
        <v>0.24638758596603463</v>
      </c>
      <c r="Q2968" s="6">
        <f t="shared" si="621"/>
        <v>3.435310435191246</v>
      </c>
      <c r="R2968" s="6">
        <f t="shared" si="621"/>
        <v>1.3271686679822123</v>
      </c>
      <c r="S2968" s="6">
        <f t="shared" si="621"/>
        <v>2.733365720067011</v>
      </c>
      <c r="T2968" s="10"/>
    </row>
    <row r="2970" spans="1:20" ht="21" customHeight="1">
      <c r="A2970" s="1" t="s">
        <v>1613</v>
      </c>
    </row>
    <row r="2971" spans="1:20">
      <c r="A2971" s="2" t="s">
        <v>255</v>
      </c>
    </row>
    <row r="2972" spans="1:20">
      <c r="A2972" s="12" t="s">
        <v>731</v>
      </c>
    </row>
    <row r="2973" spans="1:20">
      <c r="A2973" s="12" t="s">
        <v>1612</v>
      </c>
    </row>
    <row r="2974" spans="1:20">
      <c r="A2974" s="2" t="s">
        <v>1609</v>
      </c>
    </row>
    <row r="2976" spans="1:20" ht="30">
      <c r="B2976" s="3" t="s">
        <v>60</v>
      </c>
      <c r="C2976" s="3" t="s">
        <v>220</v>
      </c>
      <c r="D2976" s="3" t="s">
        <v>221</v>
      </c>
      <c r="E2976" s="3" t="s">
        <v>222</v>
      </c>
      <c r="F2976" s="3" t="s">
        <v>223</v>
      </c>
      <c r="G2976" s="3" t="s">
        <v>224</v>
      </c>
      <c r="H2976" s="3" t="s">
        <v>225</v>
      </c>
      <c r="I2976" s="3" t="s">
        <v>226</v>
      </c>
      <c r="J2976" s="3" t="s">
        <v>227</v>
      </c>
      <c r="K2976" s="3" t="s">
        <v>208</v>
      </c>
      <c r="L2976" s="3" t="s">
        <v>624</v>
      </c>
      <c r="M2976" s="3" t="s">
        <v>625</v>
      </c>
      <c r="N2976" s="3" t="s">
        <v>626</v>
      </c>
      <c r="O2976" s="3" t="s">
        <v>627</v>
      </c>
      <c r="P2976" s="3" t="s">
        <v>628</v>
      </c>
      <c r="Q2976" s="3" t="s">
        <v>629</v>
      </c>
      <c r="R2976" s="3" t="s">
        <v>630</v>
      </c>
      <c r="S2976" s="3" t="s">
        <v>631</v>
      </c>
    </row>
    <row r="2977" spans="1:20">
      <c r="A2977" s="11" t="s">
        <v>93</v>
      </c>
      <c r="B2977" s="6">
        <f t="shared" ref="B2977:J2977" si="622">(1-B$2284)*B$2837</f>
        <v>0</v>
      </c>
      <c r="C2977" s="6">
        <f t="shared" si="622"/>
        <v>5.371480755747457E-2</v>
      </c>
      <c r="D2977" s="6">
        <f t="shared" si="622"/>
        <v>4.7443959392097865E-3</v>
      </c>
      <c r="E2977" s="6">
        <f t="shared" si="622"/>
        <v>1.1375076722015086E-2</v>
      </c>
      <c r="F2977" s="6">
        <f t="shared" si="622"/>
        <v>2.4740593865939233E-3</v>
      </c>
      <c r="G2977" s="6">
        <f t="shared" si="622"/>
        <v>9.8601638344794564E-4</v>
      </c>
      <c r="H2977" s="6">
        <f t="shared" si="622"/>
        <v>1.1934207015460047E-2</v>
      </c>
      <c r="I2977" s="6">
        <f t="shared" si="622"/>
        <v>9.2211204355104211E-4</v>
      </c>
      <c r="J2977" s="6">
        <f t="shared" si="622"/>
        <v>0</v>
      </c>
      <c r="K2977" s="6">
        <f t="shared" ref="K2977:S2977" si="623">(1-B$2284)*K$2837</f>
        <v>4.7010548778710541E-3</v>
      </c>
      <c r="L2977" s="6">
        <f t="shared" si="623"/>
        <v>2.8220128508735936E-2</v>
      </c>
      <c r="M2977" s="6">
        <f t="shared" si="623"/>
        <v>2.4925615335690482E-3</v>
      </c>
      <c r="N2977" s="6">
        <f t="shared" si="623"/>
        <v>5.9761198352711519E-3</v>
      </c>
      <c r="O2977" s="6">
        <f t="shared" si="623"/>
        <v>5.1991826464774906E-3</v>
      </c>
      <c r="P2977" s="6">
        <f t="shared" si="623"/>
        <v>2.0720922455393278E-3</v>
      </c>
      <c r="Q2977" s="6">
        <f t="shared" si="623"/>
        <v>2.5079479640006723E-2</v>
      </c>
      <c r="R2977" s="6">
        <f t="shared" si="623"/>
        <v>9.6889932410611241E-3</v>
      </c>
      <c r="S2977" s="6">
        <f t="shared" si="623"/>
        <v>0</v>
      </c>
      <c r="T2977" s="10"/>
    </row>
    <row r="2978" spans="1:20">
      <c r="A2978" s="11" t="s">
        <v>95</v>
      </c>
      <c r="B2978" s="6">
        <f t="shared" ref="B2978:J2978" si="624">(1-B$2287)*B$2838</f>
        <v>0</v>
      </c>
      <c r="C2978" s="6">
        <f t="shared" si="624"/>
        <v>6.3283421526791173E-2</v>
      </c>
      <c r="D2978" s="6">
        <f t="shared" si="624"/>
        <v>5.5895501029162645E-3</v>
      </c>
      <c r="E2978" s="6">
        <f t="shared" si="624"/>
        <v>1.4061164950729609E-2</v>
      </c>
      <c r="F2978" s="6">
        <f t="shared" si="624"/>
        <v>3.0582789007013722E-3</v>
      </c>
      <c r="G2978" s="6">
        <f t="shared" si="624"/>
        <v>1.1616627381433407E-3</v>
      </c>
      <c r="H2978" s="6">
        <f t="shared" si="624"/>
        <v>1.4752327171188609E-2</v>
      </c>
      <c r="I2978" s="6">
        <f t="shared" si="624"/>
        <v>1.1398577666145758E-3</v>
      </c>
      <c r="J2978" s="6">
        <f t="shared" si="624"/>
        <v>0</v>
      </c>
      <c r="K2978" s="6">
        <f t="shared" ref="K2978:S2978" si="625">(1-B$2287)*K$2838</f>
        <v>7.5870275486639186E-3</v>
      </c>
      <c r="L2978" s="6">
        <f t="shared" si="625"/>
        <v>3.3247187678140437E-2</v>
      </c>
      <c r="M2978" s="6">
        <f t="shared" si="625"/>
        <v>2.9365798628532094E-3</v>
      </c>
      <c r="N2978" s="6">
        <f t="shared" si="625"/>
        <v>7.3873090109750619E-3</v>
      </c>
      <c r="O2978" s="6">
        <f t="shared" si="625"/>
        <v>6.4269074035871766E-3</v>
      </c>
      <c r="P2978" s="6">
        <f t="shared" si="625"/>
        <v>2.4412092862206225E-3</v>
      </c>
      <c r="Q2978" s="6">
        <f t="shared" si="625"/>
        <v>3.1001698600774636E-2</v>
      </c>
      <c r="R2978" s="6">
        <f t="shared" si="625"/>
        <v>1.1976933035132106E-2</v>
      </c>
      <c r="S2978" s="6">
        <f t="shared" si="625"/>
        <v>0</v>
      </c>
      <c r="T2978" s="10"/>
    </row>
    <row r="2979" spans="1:20">
      <c r="A2979" s="11" t="s">
        <v>96</v>
      </c>
      <c r="B2979" s="6">
        <f t="shared" ref="B2979:J2979" si="626">(1-B$2289)*B$2839</f>
        <v>0</v>
      </c>
      <c r="C2979" s="6">
        <f t="shared" si="626"/>
        <v>4.8403886345221157E-2</v>
      </c>
      <c r="D2979" s="6">
        <f t="shared" si="626"/>
        <v>4.27530530706115E-3</v>
      </c>
      <c r="E2979" s="6">
        <f t="shared" si="626"/>
        <v>9.5020565649254797E-3</v>
      </c>
      <c r="F2979" s="6">
        <f t="shared" si="626"/>
        <v>2.0666807627681438E-3</v>
      </c>
      <c r="G2979" s="6">
        <f t="shared" si="626"/>
        <v>8.8852640694789254E-4</v>
      </c>
      <c r="H2979" s="6">
        <f t="shared" si="626"/>
        <v>9.9691204630700057E-3</v>
      </c>
      <c r="I2979" s="6">
        <f t="shared" si="626"/>
        <v>7.7027707251093192E-4</v>
      </c>
      <c r="J2979" s="6">
        <f t="shared" si="626"/>
        <v>0</v>
      </c>
      <c r="K2979" s="6">
        <f t="shared" ref="K2979:S2979" si="627">(1-B$2289)*K$2839</f>
        <v>1.9126978028564704E-3</v>
      </c>
      <c r="L2979" s="6">
        <f t="shared" si="627"/>
        <v>2.5429931802749467E-2</v>
      </c>
      <c r="M2979" s="6">
        <f t="shared" si="627"/>
        <v>2.2461155622730635E-3</v>
      </c>
      <c r="N2979" s="6">
        <f t="shared" si="627"/>
        <v>4.9920919305641515E-3</v>
      </c>
      <c r="O2979" s="6">
        <f t="shared" si="627"/>
        <v>4.3430852209194052E-3</v>
      </c>
      <c r="P2979" s="6">
        <f t="shared" si="627"/>
        <v>1.8672191544683865E-3</v>
      </c>
      <c r="Q2979" s="6">
        <f t="shared" si="627"/>
        <v>2.09498924694747E-2</v>
      </c>
      <c r="R2979" s="6">
        <f t="shared" si="627"/>
        <v>8.0936035935091407E-3</v>
      </c>
      <c r="S2979" s="6">
        <f t="shared" si="627"/>
        <v>0</v>
      </c>
      <c r="T2979" s="10"/>
    </row>
    <row r="2980" spans="1:20">
      <c r="A2980" s="11" t="s">
        <v>97</v>
      </c>
      <c r="B2980" s="6">
        <f t="shared" ref="B2980:J2980" si="628">(1-B$2290)*B$2840</f>
        <v>0</v>
      </c>
      <c r="C2980" s="6">
        <f t="shared" si="628"/>
        <v>4.816994512666354E-2</v>
      </c>
      <c r="D2980" s="6">
        <f t="shared" si="628"/>
        <v>4.2546422940521024E-3</v>
      </c>
      <c r="E2980" s="6">
        <f t="shared" si="628"/>
        <v>9.4026015059807816E-3</v>
      </c>
      <c r="F2980" s="6">
        <f t="shared" si="628"/>
        <v>2.0450494605677673E-3</v>
      </c>
      <c r="G2980" s="6">
        <f t="shared" si="628"/>
        <v>8.842320627111608E-4</v>
      </c>
      <c r="H2980" s="6">
        <f t="shared" si="628"/>
        <v>9.8647767921492043E-3</v>
      </c>
      <c r="I2980" s="6">
        <f t="shared" si="628"/>
        <v>0</v>
      </c>
      <c r="J2980" s="6">
        <f t="shared" si="628"/>
        <v>0</v>
      </c>
      <c r="K2980" s="6">
        <f t="shared" ref="K2980:S2980" si="629">(1-B$2290)*K$2840</f>
        <v>1.737243535126674E-3</v>
      </c>
      <c r="L2980" s="6">
        <f t="shared" si="629"/>
        <v>2.5307026191589591E-2</v>
      </c>
      <c r="M2980" s="6">
        <f t="shared" si="629"/>
        <v>2.2352598427981484E-3</v>
      </c>
      <c r="N2980" s="6">
        <f t="shared" si="629"/>
        <v>4.9398412631618668E-3</v>
      </c>
      <c r="O2980" s="6">
        <f t="shared" si="629"/>
        <v>4.2976275040875799E-3</v>
      </c>
      <c r="P2980" s="6">
        <f t="shared" si="629"/>
        <v>1.8581946823176371E-3</v>
      </c>
      <c r="Q2980" s="6">
        <f t="shared" si="629"/>
        <v>2.0730616486828193E-2</v>
      </c>
      <c r="R2980" s="6">
        <f t="shared" si="629"/>
        <v>0</v>
      </c>
      <c r="S2980" s="6">
        <f t="shared" si="629"/>
        <v>0</v>
      </c>
      <c r="T2980" s="10"/>
    </row>
    <row r="2981" spans="1:20">
      <c r="A2981" s="11" t="s">
        <v>110</v>
      </c>
      <c r="B2981" s="6">
        <f t="shared" ref="B2981:J2981" si="630">(1-B$2291)*B$2841</f>
        <v>0</v>
      </c>
      <c r="C2981" s="6">
        <f t="shared" si="630"/>
        <v>4.1557824197976372E-2</v>
      </c>
      <c r="D2981" s="6">
        <f t="shared" si="630"/>
        <v>2.4991471220390418E-3</v>
      </c>
      <c r="E2981" s="6">
        <f t="shared" si="630"/>
        <v>4.4317444432062777E-3</v>
      </c>
      <c r="F2981" s="6">
        <f t="shared" si="630"/>
        <v>0</v>
      </c>
      <c r="G2981" s="6">
        <f t="shared" si="630"/>
        <v>0</v>
      </c>
      <c r="H2981" s="6">
        <f t="shared" si="630"/>
        <v>0</v>
      </c>
      <c r="I2981" s="6">
        <f t="shared" si="630"/>
        <v>0</v>
      </c>
      <c r="J2981" s="6">
        <f t="shared" si="630"/>
        <v>0</v>
      </c>
      <c r="K2981" s="6">
        <f t="shared" ref="K2981:S2981" si="631">(1-B$2291)*K$2841</f>
        <v>1.6752619353919236E-3</v>
      </c>
      <c r="L2981" s="6">
        <f t="shared" si="631"/>
        <v>2.1833218673556538E-2</v>
      </c>
      <c r="M2981" s="6">
        <f t="shared" si="631"/>
        <v>2.0515249935596381E-3</v>
      </c>
      <c r="N2981" s="6">
        <f t="shared" si="631"/>
        <v>3.637974895567068E-3</v>
      </c>
      <c r="O2981" s="6">
        <f t="shared" si="631"/>
        <v>0</v>
      </c>
      <c r="P2981" s="6">
        <f t="shared" si="631"/>
        <v>0</v>
      </c>
      <c r="Q2981" s="6">
        <f t="shared" si="631"/>
        <v>0</v>
      </c>
      <c r="R2981" s="6">
        <f t="shared" si="631"/>
        <v>0</v>
      </c>
      <c r="S2981" s="6">
        <f t="shared" si="631"/>
        <v>0</v>
      </c>
      <c r="T2981" s="10"/>
    </row>
    <row r="2982" spans="1:20">
      <c r="A2982" s="11" t="s">
        <v>1647</v>
      </c>
      <c r="B2982" s="6">
        <f t="shared" ref="B2982:J2982" si="632">(1-B$2292)*B$2842</f>
        <v>0</v>
      </c>
      <c r="C2982" s="6">
        <f t="shared" si="632"/>
        <v>0.23820498915608751</v>
      </c>
      <c r="D2982" s="6">
        <f t="shared" si="632"/>
        <v>2.1039613369970848E-2</v>
      </c>
      <c r="E2982" s="6">
        <f t="shared" si="632"/>
        <v>7.7199616858126013E-2</v>
      </c>
      <c r="F2982" s="6">
        <f t="shared" si="632"/>
        <v>1.6790782286298832E-2</v>
      </c>
      <c r="G2982" s="6">
        <f t="shared" si="632"/>
        <v>4.3726121828813877E-3</v>
      </c>
      <c r="H2982" s="6">
        <f t="shared" si="632"/>
        <v>8.0994285279498743E-2</v>
      </c>
      <c r="I2982" s="6">
        <f t="shared" si="632"/>
        <v>6.2581289077928426E-3</v>
      </c>
      <c r="J2982" s="6">
        <f t="shared" si="632"/>
        <v>0</v>
      </c>
      <c r="K2982" s="6">
        <f t="shared" ref="K2982:S2982" si="633">(1-B$2292)*K$2842</f>
        <v>0.10033361820072305</v>
      </c>
      <c r="L2982" s="6">
        <f t="shared" si="633"/>
        <v>0.12514566673657254</v>
      </c>
      <c r="M2982" s="6">
        <f t="shared" si="633"/>
        <v>1.105357386674795E-2</v>
      </c>
      <c r="N2982" s="6">
        <f t="shared" si="633"/>
        <v>4.0558334053983555E-2</v>
      </c>
      <c r="O2982" s="6">
        <f t="shared" si="633"/>
        <v>3.5285468229560801E-2</v>
      </c>
      <c r="P2982" s="6">
        <f t="shared" si="633"/>
        <v>9.1889505580184348E-3</v>
      </c>
      <c r="Q2982" s="6">
        <f t="shared" si="633"/>
        <v>0.17020775037609662</v>
      </c>
      <c r="R2982" s="6">
        <f t="shared" si="633"/>
        <v>6.5756617228194494E-2</v>
      </c>
      <c r="S2982" s="6">
        <f t="shared" si="633"/>
        <v>0</v>
      </c>
      <c r="T2982" s="10"/>
    </row>
    <row r="2983" spans="1:20">
      <c r="A2983" s="11" t="s">
        <v>1646</v>
      </c>
      <c r="B2983" s="6">
        <f t="shared" ref="B2983:J2983" si="634">(1-B$2293)*B$2843</f>
        <v>0</v>
      </c>
      <c r="C2983" s="6">
        <f t="shared" si="634"/>
        <v>0.2412308052001545</v>
      </c>
      <c r="D2983" s="6">
        <f t="shared" si="634"/>
        <v>2.1306870575293728E-2</v>
      </c>
      <c r="E2983" s="6">
        <f t="shared" si="634"/>
        <v>7.5886767598630139E-2</v>
      </c>
      <c r="F2983" s="6">
        <f t="shared" si="634"/>
        <v>1.6505239857617683E-2</v>
      </c>
      <c r="G2983" s="6">
        <f t="shared" si="634"/>
        <v>4.4281556043030768E-3</v>
      </c>
      <c r="H2983" s="6">
        <f t="shared" si="634"/>
        <v>7.961690425378716E-2</v>
      </c>
      <c r="I2983" s="6">
        <f t="shared" si="634"/>
        <v>6.1517037694722157E-3</v>
      </c>
      <c r="J2983" s="6">
        <f t="shared" si="634"/>
        <v>0</v>
      </c>
      <c r="K2983" s="6">
        <f t="shared" ref="K2983:S2983" si="635">(1-B$2293)*K$2843</f>
        <v>0.10059899395696414</v>
      </c>
      <c r="L2983" s="6">
        <f t="shared" si="635"/>
        <v>0.12673533858852881</v>
      </c>
      <c r="M2983" s="6">
        <f t="shared" si="635"/>
        <v>1.119398268550854E-2</v>
      </c>
      <c r="N2983" s="6">
        <f t="shared" si="635"/>
        <v>3.9868602925822477E-2</v>
      </c>
      <c r="O2983" s="6">
        <f t="shared" si="635"/>
        <v>3.468540695048377E-2</v>
      </c>
      <c r="P2983" s="6">
        <f t="shared" si="635"/>
        <v>9.3056738648017844E-3</v>
      </c>
      <c r="Q2983" s="6">
        <f t="shared" si="635"/>
        <v>0.16731321374319627</v>
      </c>
      <c r="R2983" s="6">
        <f t="shared" si="635"/>
        <v>6.4638366519856924E-2</v>
      </c>
      <c r="S2983" s="6">
        <f t="shared" si="635"/>
        <v>0</v>
      </c>
      <c r="T2983" s="10"/>
    </row>
    <row r="2984" spans="1:20">
      <c r="A2984" s="11" t="s">
        <v>98</v>
      </c>
      <c r="B2984" s="6">
        <f t="shared" ref="B2984:J2984" si="636">(1-B$2294)*B$2844</f>
        <v>0</v>
      </c>
      <c r="C2984" s="6">
        <f t="shared" si="636"/>
        <v>0.19404304239888007</v>
      </c>
      <c r="D2984" s="6">
        <f t="shared" si="636"/>
        <v>1.7138980185381913E-2</v>
      </c>
      <c r="E2984" s="6">
        <f t="shared" si="636"/>
        <v>6.2481891630174244E-2</v>
      </c>
      <c r="F2984" s="6">
        <f t="shared" si="636"/>
        <v>1.3589702668167366E-2</v>
      </c>
      <c r="G2984" s="6">
        <f t="shared" si="636"/>
        <v>3.5619529809291124E-3</v>
      </c>
      <c r="H2984" s="6">
        <f t="shared" si="636"/>
        <v>5.244250022429351E-2</v>
      </c>
      <c r="I2984" s="6">
        <f t="shared" si="636"/>
        <v>0</v>
      </c>
      <c r="J2984" s="6">
        <f t="shared" si="636"/>
        <v>0</v>
      </c>
      <c r="K2984" s="6">
        <f t="shared" ref="K2984:S2984" si="637">(1-B$2294)*K$2844</f>
        <v>8.3396703534292169E-2</v>
      </c>
      <c r="L2984" s="6">
        <f t="shared" si="637"/>
        <v>0.10194432116066481</v>
      </c>
      <c r="M2984" s="6">
        <f t="shared" si="637"/>
        <v>9.0042996583882054E-3</v>
      </c>
      <c r="N2984" s="6">
        <f t="shared" si="637"/>
        <v>3.2826088213864769E-2</v>
      </c>
      <c r="O2984" s="6">
        <f t="shared" si="637"/>
        <v>2.855846818632634E-2</v>
      </c>
      <c r="P2984" s="6">
        <f t="shared" si="637"/>
        <v>7.4853676618939786E-3</v>
      </c>
      <c r="Q2984" s="6">
        <f t="shared" si="637"/>
        <v>0.11020678750941848</v>
      </c>
      <c r="R2984" s="6">
        <f t="shared" si="637"/>
        <v>0</v>
      </c>
      <c r="S2984" s="6">
        <f t="shared" si="637"/>
        <v>0</v>
      </c>
      <c r="T2984" s="10"/>
    </row>
    <row r="2985" spans="1:20">
      <c r="A2985" s="11" t="s">
        <v>99</v>
      </c>
      <c r="B2985" s="6">
        <f t="shared" ref="B2985:J2985" si="638">(1-B$2295)*B$2845</f>
        <v>0</v>
      </c>
      <c r="C2985" s="6">
        <f t="shared" si="638"/>
        <v>0.17194547403256599</v>
      </c>
      <c r="D2985" s="6">
        <f t="shared" si="638"/>
        <v>1.5187197829811275E-2</v>
      </c>
      <c r="E2985" s="6">
        <f t="shared" si="638"/>
        <v>5.5366470974605446E-2</v>
      </c>
      <c r="F2985" s="6">
        <f t="shared" si="638"/>
        <v>1.2042111061298998E-2</v>
      </c>
      <c r="G2985" s="6">
        <f t="shared" si="638"/>
        <v>3.156318753900874E-3</v>
      </c>
      <c r="H2985" s="6">
        <f t="shared" si="638"/>
        <v>0</v>
      </c>
      <c r="I2985" s="6">
        <f t="shared" si="638"/>
        <v>0</v>
      </c>
      <c r="J2985" s="6">
        <f t="shared" si="638"/>
        <v>0</v>
      </c>
      <c r="K2985" s="6">
        <f t="shared" ref="K2985:S2985" si="639">(1-B$2295)*K$2845</f>
        <v>7.3899509844213812E-2</v>
      </c>
      <c r="L2985" s="6">
        <f t="shared" si="639"/>
        <v>9.033492987017723E-2</v>
      </c>
      <c r="M2985" s="6">
        <f t="shared" si="639"/>
        <v>7.9788924866999907E-3</v>
      </c>
      <c r="N2985" s="6">
        <f t="shared" si="639"/>
        <v>2.9087862305133497E-2</v>
      </c>
      <c r="O2985" s="6">
        <f t="shared" si="639"/>
        <v>2.5306237674050092E-2</v>
      </c>
      <c r="P2985" s="6">
        <f t="shared" si="639"/>
        <v>6.6329360487280675E-3</v>
      </c>
      <c r="Q2985" s="6">
        <f t="shared" si="639"/>
        <v>0</v>
      </c>
      <c r="R2985" s="6">
        <f t="shared" si="639"/>
        <v>0</v>
      </c>
      <c r="S2985" s="6">
        <f t="shared" si="639"/>
        <v>0</v>
      </c>
      <c r="T2985" s="10"/>
    </row>
    <row r="2986" spans="1:20">
      <c r="A2986" s="11" t="s">
        <v>111</v>
      </c>
      <c r="B2986" s="6">
        <f t="shared" ref="B2986:J2986" si="640">(1-B$2296)*B$2846</f>
        <v>0</v>
      </c>
      <c r="C2986" s="6">
        <f t="shared" si="640"/>
        <v>0.16441513358121623</v>
      </c>
      <c r="D2986" s="6">
        <f t="shared" si="640"/>
        <v>9.8873705695393353E-3</v>
      </c>
      <c r="E2986" s="6">
        <f t="shared" si="640"/>
        <v>2.8836330271750754E-2</v>
      </c>
      <c r="F2986" s="6">
        <f t="shared" si="640"/>
        <v>0</v>
      </c>
      <c r="G2986" s="6">
        <f t="shared" si="640"/>
        <v>0</v>
      </c>
      <c r="H2986" s="6">
        <f t="shared" si="640"/>
        <v>0</v>
      </c>
      <c r="I2986" s="6">
        <f t="shared" si="640"/>
        <v>0</v>
      </c>
      <c r="J2986" s="6">
        <f t="shared" si="640"/>
        <v>0</v>
      </c>
      <c r="K2986" s="6">
        <f t="shared" ref="K2986:S2986" si="641">(1-B$2296)*K$2846</f>
        <v>7.5173495520394262E-2</v>
      </c>
      <c r="L2986" s="6">
        <f t="shared" si="641"/>
        <v>8.6378717702345453E-2</v>
      </c>
      <c r="M2986" s="6">
        <f t="shared" si="641"/>
        <v>8.1164440721065555E-3</v>
      </c>
      <c r="N2986" s="6">
        <f t="shared" si="641"/>
        <v>2.3671456455420681E-2</v>
      </c>
      <c r="O2986" s="6">
        <f t="shared" si="641"/>
        <v>0</v>
      </c>
      <c r="P2986" s="6">
        <f t="shared" si="641"/>
        <v>0</v>
      </c>
      <c r="Q2986" s="6">
        <f t="shared" si="641"/>
        <v>0</v>
      </c>
      <c r="R2986" s="6">
        <f t="shared" si="641"/>
        <v>0</v>
      </c>
      <c r="S2986" s="6">
        <f t="shared" si="641"/>
        <v>0</v>
      </c>
      <c r="T2986" s="10"/>
    </row>
    <row r="2987" spans="1:20">
      <c r="A2987" s="11" t="s">
        <v>135</v>
      </c>
      <c r="B2987" s="6">
        <f t="shared" ref="B2987:J2987" si="642">(1-B$2301)*B$2847</f>
        <v>0</v>
      </c>
      <c r="C2987" s="6">
        <f t="shared" si="642"/>
        <v>0.18156107326586174</v>
      </c>
      <c r="D2987" s="6">
        <f t="shared" si="642"/>
        <v>1.6036501998065136E-2</v>
      </c>
      <c r="E2987" s="6">
        <f t="shared" si="642"/>
        <v>5.5418312163598819E-2</v>
      </c>
      <c r="F2987" s="6">
        <f t="shared" si="642"/>
        <v>1.2053386429665787E-2</v>
      </c>
      <c r="G2987" s="6">
        <f t="shared" si="642"/>
        <v>3.3328275940480603E-3</v>
      </c>
      <c r="H2987" s="6">
        <f t="shared" si="642"/>
        <v>5.8142342770116637E-2</v>
      </c>
      <c r="I2987" s="6">
        <f t="shared" si="642"/>
        <v>4.4924438162622805E-3</v>
      </c>
      <c r="J2987" s="6">
        <f t="shared" si="642"/>
        <v>9.2523973952517331E-3</v>
      </c>
      <c r="K2987" s="6">
        <f t="shared" ref="K2987:S2987" si="643">(1-B$2301)*K$2847</f>
        <v>0.10801494170431458</v>
      </c>
      <c r="L2987" s="6">
        <f t="shared" si="643"/>
        <v>9.5386673670278574E-2</v>
      </c>
      <c r="M2987" s="6">
        <f t="shared" si="643"/>
        <v>8.4250911023328236E-3</v>
      </c>
      <c r="N2987" s="6">
        <f t="shared" si="643"/>
        <v>2.9115098091352654E-2</v>
      </c>
      <c r="O2987" s="6">
        <f t="shared" si="643"/>
        <v>2.5329932618424877E-2</v>
      </c>
      <c r="P2987" s="6">
        <f t="shared" si="643"/>
        <v>7.0038655840560507E-3</v>
      </c>
      <c r="Q2987" s="6">
        <f t="shared" si="643"/>
        <v>0.12218488415999888</v>
      </c>
      <c r="R2987" s="6">
        <f t="shared" si="643"/>
        <v>4.7203870805102098E-2</v>
      </c>
      <c r="S2987" s="6">
        <f t="shared" si="643"/>
        <v>9.721857170521099E-2</v>
      </c>
      <c r="T2987" s="10"/>
    </row>
    <row r="2989" spans="1:20" ht="21" customHeight="1">
      <c r="A2989" s="1" t="s">
        <v>1611</v>
      </c>
    </row>
    <row r="2990" spans="1:20">
      <c r="A2990" s="2" t="s">
        <v>255</v>
      </c>
    </row>
    <row r="2991" spans="1:20">
      <c r="A2991" s="12" t="s">
        <v>731</v>
      </c>
    </row>
    <row r="2992" spans="1:20">
      <c r="A2992" s="12" t="s">
        <v>1610</v>
      </c>
    </row>
    <row r="2993" spans="1:20">
      <c r="A2993" s="2" t="s">
        <v>1609</v>
      </c>
    </row>
    <row r="2995" spans="1:20" ht="30">
      <c r="B2995" s="3" t="s">
        <v>60</v>
      </c>
      <c r="C2995" s="3" t="s">
        <v>220</v>
      </c>
      <c r="D2995" s="3" t="s">
        <v>221</v>
      </c>
      <c r="E2995" s="3" t="s">
        <v>222</v>
      </c>
      <c r="F2995" s="3" t="s">
        <v>223</v>
      </c>
      <c r="G2995" s="3" t="s">
        <v>224</v>
      </c>
      <c r="H2995" s="3" t="s">
        <v>225</v>
      </c>
      <c r="I2995" s="3" t="s">
        <v>226</v>
      </c>
      <c r="J2995" s="3" t="s">
        <v>227</v>
      </c>
      <c r="K2995" s="3" t="s">
        <v>208</v>
      </c>
      <c r="L2995" s="3" t="s">
        <v>624</v>
      </c>
      <c r="M2995" s="3" t="s">
        <v>625</v>
      </c>
      <c r="N2995" s="3" t="s">
        <v>626</v>
      </c>
      <c r="O2995" s="3" t="s">
        <v>627</v>
      </c>
      <c r="P2995" s="3" t="s">
        <v>628</v>
      </c>
      <c r="Q2995" s="3" t="s">
        <v>629</v>
      </c>
      <c r="R2995" s="3" t="s">
        <v>630</v>
      </c>
      <c r="S2995" s="3" t="s">
        <v>631</v>
      </c>
    </row>
    <row r="2996" spans="1:20">
      <c r="A2996" s="11" t="s">
        <v>1647</v>
      </c>
      <c r="B2996" s="6">
        <f t="shared" ref="B2996:J2996" si="644">(1-B$2292)*B$2862</f>
        <v>0</v>
      </c>
      <c r="C2996" s="6">
        <f t="shared" si="644"/>
        <v>5.1304994057376152E-2</v>
      </c>
      <c r="D2996" s="6">
        <f t="shared" si="644"/>
        <v>4.5315475664052035E-3</v>
      </c>
      <c r="E2996" s="6">
        <f t="shared" si="644"/>
        <v>9.981506968293332E-3</v>
      </c>
      <c r="F2996" s="6">
        <f t="shared" si="644"/>
        <v>2.1709603909277277E-3</v>
      </c>
      <c r="G2996" s="6">
        <f t="shared" si="644"/>
        <v>9.4178061867100529E-4</v>
      </c>
      <c r="H2996" s="6">
        <f t="shared" si="644"/>
        <v>1.0472137761965561E-2</v>
      </c>
      <c r="I2996" s="6">
        <f t="shared" si="644"/>
        <v>8.0914335904553269E-4</v>
      </c>
      <c r="J2996" s="6">
        <f t="shared" si="644"/>
        <v>0</v>
      </c>
      <c r="K2996" s="6">
        <f t="shared" ref="K2996:S2996" si="645">(1-B$2292)*K$2862</f>
        <v>1.5170601543825545E-3</v>
      </c>
      <c r="L2996" s="6">
        <f t="shared" si="645"/>
        <v>2.6954085684658072E-2</v>
      </c>
      <c r="M2996" s="6">
        <f t="shared" si="645"/>
        <v>2.3807374629532569E-3</v>
      </c>
      <c r="N2996" s="6">
        <f t="shared" si="645"/>
        <v>5.2439806110202592E-3</v>
      </c>
      <c r="O2996" s="6">
        <f t="shared" si="645"/>
        <v>4.5622266190791516E-3</v>
      </c>
      <c r="P2996" s="6">
        <f t="shared" si="645"/>
        <v>1.9791317362531872E-3</v>
      </c>
      <c r="Q2996" s="6">
        <f t="shared" si="645"/>
        <v>2.2006972515922679E-2</v>
      </c>
      <c r="R2996" s="6">
        <f t="shared" si="645"/>
        <v>8.5019869241168833E-3</v>
      </c>
      <c r="S2996" s="6">
        <f t="shared" si="645"/>
        <v>0</v>
      </c>
      <c r="T2996" s="10"/>
    </row>
    <row r="2997" spans="1:20">
      <c r="A2997" s="11" t="s">
        <v>1646</v>
      </c>
      <c r="B2997" s="6">
        <f t="shared" ref="B2997:J2997" si="646">(1-B$2293)*B$2863</f>
        <v>0</v>
      </c>
      <c r="C2997" s="6">
        <f t="shared" si="646"/>
        <v>5.1956699442345426E-2</v>
      </c>
      <c r="D2997" s="6">
        <f t="shared" si="646"/>
        <v>4.5891098759918278E-3</v>
      </c>
      <c r="E2997" s="6">
        <f t="shared" si="646"/>
        <v>9.8117624207775186E-3</v>
      </c>
      <c r="F2997" s="6">
        <f t="shared" si="646"/>
        <v>2.1340412473151082E-3</v>
      </c>
      <c r="G2997" s="6">
        <f t="shared" si="646"/>
        <v>9.5374365486122867E-4</v>
      </c>
      <c r="H2997" s="6">
        <f t="shared" si="646"/>
        <v>1.029404959435974E-2</v>
      </c>
      <c r="I2997" s="6">
        <f t="shared" si="646"/>
        <v>7.9538314490222725E-4</v>
      </c>
      <c r="J2997" s="6">
        <f t="shared" si="646"/>
        <v>0</v>
      </c>
      <c r="K2997" s="6">
        <f t="shared" ref="K2997:S2997" si="647">(1-B$2293)*K$2863</f>
        <v>1.5210726777316788E-3</v>
      </c>
      <c r="L2997" s="6">
        <f t="shared" si="647"/>
        <v>2.7296471900860923E-2</v>
      </c>
      <c r="M2997" s="6">
        <f t="shared" si="647"/>
        <v>2.4109789521749411E-3</v>
      </c>
      <c r="N2997" s="6">
        <f t="shared" si="647"/>
        <v>5.1548019810972534E-3</v>
      </c>
      <c r="O2997" s="6">
        <f t="shared" si="647"/>
        <v>4.4846418319743437E-3</v>
      </c>
      <c r="P2997" s="6">
        <f t="shared" si="647"/>
        <v>2.0042717997845721E-3</v>
      </c>
      <c r="Q2997" s="6">
        <f t="shared" si="647"/>
        <v>2.1632724057871765E-2</v>
      </c>
      <c r="R2997" s="6">
        <f t="shared" si="647"/>
        <v>8.3574029521771894E-3</v>
      </c>
      <c r="S2997" s="6">
        <f t="shared" si="647"/>
        <v>0</v>
      </c>
      <c r="T2997" s="10"/>
    </row>
    <row r="2998" spans="1:20">
      <c r="A2998" s="11" t="s">
        <v>98</v>
      </c>
      <c r="B2998" s="6">
        <f t="shared" ref="B2998:J2998" si="648">(1-B$2294)*B$2864</f>
        <v>0</v>
      </c>
      <c r="C2998" s="6">
        <f t="shared" si="648"/>
        <v>4.1793319159349397E-2</v>
      </c>
      <c r="D2998" s="6">
        <f t="shared" si="648"/>
        <v>3.6914225838667112E-3</v>
      </c>
      <c r="E2998" s="6">
        <f t="shared" si="648"/>
        <v>8.0785820199713414E-3</v>
      </c>
      <c r="F2998" s="6">
        <f t="shared" si="648"/>
        <v>1.7570775270637758E-3</v>
      </c>
      <c r="G2998" s="6">
        <f t="shared" si="648"/>
        <v>7.6717946658738645E-4</v>
      </c>
      <c r="H2998" s="6">
        <f t="shared" si="648"/>
        <v>6.7805411830669134E-3</v>
      </c>
      <c r="I2998" s="6">
        <f t="shared" si="648"/>
        <v>0</v>
      </c>
      <c r="J2998" s="6">
        <f t="shared" si="648"/>
        <v>0</v>
      </c>
      <c r="K2998" s="6">
        <f t="shared" ref="K2998:S2998" si="649">(1-B$2294)*K$2864</f>
        <v>1.2609713295260957E-3</v>
      </c>
      <c r="L2998" s="6">
        <f t="shared" si="649"/>
        <v>2.1956940574002624E-2</v>
      </c>
      <c r="M2998" s="6">
        <f t="shared" si="649"/>
        <v>1.9393613127126018E-3</v>
      </c>
      <c r="N2998" s="6">
        <f t="shared" si="649"/>
        <v>4.2442416372434899E-3</v>
      </c>
      <c r="O2998" s="6">
        <f t="shared" si="649"/>
        <v>3.6924606728225597E-3</v>
      </c>
      <c r="P2998" s="6">
        <f t="shared" si="649"/>
        <v>1.6122111664046642E-3</v>
      </c>
      <c r="Q2998" s="6">
        <f t="shared" si="649"/>
        <v>1.4249161618250884E-2</v>
      </c>
      <c r="R2998" s="6">
        <f t="shared" si="649"/>
        <v>0</v>
      </c>
      <c r="S2998" s="6">
        <f t="shared" si="649"/>
        <v>0</v>
      </c>
      <c r="T2998" s="10"/>
    </row>
    <row r="2999" spans="1:20">
      <c r="A2999" s="11" t="s">
        <v>99</v>
      </c>
      <c r="B2999" s="6">
        <f t="shared" ref="B2999:J2999" si="650">(1-B$2295)*B$2865</f>
        <v>0</v>
      </c>
      <c r="C2999" s="6">
        <f t="shared" si="650"/>
        <v>3.7033907453772906E-2</v>
      </c>
      <c r="D2999" s="6">
        <f t="shared" si="650"/>
        <v>3.2710443940202035E-3</v>
      </c>
      <c r="E2999" s="6">
        <f t="shared" si="650"/>
        <v>7.1585953186588122E-3</v>
      </c>
      <c r="F2999" s="6">
        <f t="shared" si="650"/>
        <v>1.5569820209368839E-3</v>
      </c>
      <c r="G2999" s="6">
        <f t="shared" si="650"/>
        <v>6.7981327967047279E-4</v>
      </c>
      <c r="H2999" s="6">
        <f t="shared" si="650"/>
        <v>0</v>
      </c>
      <c r="I2999" s="6">
        <f t="shared" si="650"/>
        <v>0</v>
      </c>
      <c r="J2999" s="6">
        <f t="shared" si="650"/>
        <v>0</v>
      </c>
      <c r="K2999" s="6">
        <f t="shared" ref="K2999:S2999" si="651">(1-B$2295)*K$2865</f>
        <v>1.1173722608983938E-3</v>
      </c>
      <c r="L2999" s="6">
        <f t="shared" si="651"/>
        <v>1.945649021283101E-2</v>
      </c>
      <c r="M2999" s="6">
        <f t="shared" si="651"/>
        <v>1.7185073791479183E-3</v>
      </c>
      <c r="N2999" s="6">
        <f t="shared" si="651"/>
        <v>3.7609085654534014E-3</v>
      </c>
      <c r="O2999" s="6">
        <f t="shared" si="651"/>
        <v>3.2719642656909142E-3</v>
      </c>
      <c r="P2999" s="6">
        <f t="shared" si="651"/>
        <v>1.4286130016360025E-3</v>
      </c>
      <c r="Q2999" s="6">
        <f t="shared" si="651"/>
        <v>0</v>
      </c>
      <c r="R2999" s="6">
        <f t="shared" si="651"/>
        <v>0</v>
      </c>
      <c r="S2999" s="6">
        <f t="shared" si="651"/>
        <v>0</v>
      </c>
      <c r="T2999" s="10"/>
    </row>
    <row r="3000" spans="1:20">
      <c r="A3000" s="11" t="s">
        <v>111</v>
      </c>
      <c r="B3000" s="6">
        <f t="shared" ref="B3000:J3000" si="652">(1-B$2296)*B$2866</f>
        <v>0</v>
      </c>
      <c r="C3000" s="6">
        <f t="shared" si="652"/>
        <v>3.5412009971796325E-2</v>
      </c>
      <c r="D3000" s="6">
        <f t="shared" si="652"/>
        <v>2.1295586213809061E-3</v>
      </c>
      <c r="E3000" s="6">
        <f t="shared" si="652"/>
        <v>3.7283867881941603E-3</v>
      </c>
      <c r="F3000" s="6">
        <f t="shared" si="652"/>
        <v>0</v>
      </c>
      <c r="G3000" s="6">
        <f t="shared" si="652"/>
        <v>0</v>
      </c>
      <c r="H3000" s="6">
        <f t="shared" si="652"/>
        <v>0</v>
      </c>
      <c r="I3000" s="6">
        <f t="shared" si="652"/>
        <v>0</v>
      </c>
      <c r="J3000" s="6">
        <f t="shared" si="652"/>
        <v>0</v>
      </c>
      <c r="K3000" s="6">
        <f t="shared" ref="K3000:S3000" si="653">(1-B$2296)*K$2866</f>
        <v>1.1366351255418371E-3</v>
      </c>
      <c r="L3000" s="6">
        <f t="shared" si="653"/>
        <v>1.8604394534737025E-2</v>
      </c>
      <c r="M3000" s="6">
        <f t="shared" si="653"/>
        <v>1.748133472609975E-3</v>
      </c>
      <c r="N3000" s="6">
        <f t="shared" si="653"/>
        <v>3.0605955984684815E-3</v>
      </c>
      <c r="O3000" s="6">
        <f t="shared" si="653"/>
        <v>0</v>
      </c>
      <c r="P3000" s="6">
        <f t="shared" si="653"/>
        <v>0</v>
      </c>
      <c r="Q3000" s="6">
        <f t="shared" si="653"/>
        <v>0</v>
      </c>
      <c r="R3000" s="6">
        <f t="shared" si="653"/>
        <v>0</v>
      </c>
      <c r="S3000" s="6">
        <f t="shared" si="653"/>
        <v>0</v>
      </c>
      <c r="T3000" s="10"/>
    </row>
    <row r="3001" spans="1:20">
      <c r="A3001" s="11" t="s">
        <v>135</v>
      </c>
      <c r="B3001" s="6">
        <f t="shared" ref="B3001:J3001" si="654">(1-B$2301)*B$2867</f>
        <v>0</v>
      </c>
      <c r="C3001" s="6">
        <f t="shared" si="654"/>
        <v>3.7104365118876936E-2</v>
      </c>
      <c r="D3001" s="6">
        <f t="shared" si="654"/>
        <v>3.2772676139367625E-3</v>
      </c>
      <c r="E3001" s="6">
        <f t="shared" si="654"/>
        <v>7.1722146730898032E-3</v>
      </c>
      <c r="F3001" s="6">
        <f t="shared" si="654"/>
        <v>1.5599442068185954E-3</v>
      </c>
      <c r="G3001" s="6">
        <f t="shared" si="654"/>
        <v>6.8110663648009617E-4</v>
      </c>
      <c r="H3001" s="6">
        <f t="shared" si="654"/>
        <v>7.5247575695305529E-3</v>
      </c>
      <c r="I3001" s="6">
        <f t="shared" si="654"/>
        <v>5.8141019094753109E-4</v>
      </c>
      <c r="J3001" s="6">
        <f t="shared" si="654"/>
        <v>1.1974413829779289E-3</v>
      </c>
      <c r="K3001" s="6">
        <f t="shared" ref="K3001:S3001" si="655">(1-B$2301)*K$2867</f>
        <v>1.1194980814225497E-3</v>
      </c>
      <c r="L3001" s="6">
        <f t="shared" si="655"/>
        <v>1.9493506530194413E-2</v>
      </c>
      <c r="M3001" s="6">
        <f t="shared" si="655"/>
        <v>1.7217768698855607E-3</v>
      </c>
      <c r="N3001" s="6">
        <f t="shared" si="655"/>
        <v>3.7680637606356112E-3</v>
      </c>
      <c r="O3001" s="6">
        <f t="shared" si="655"/>
        <v>3.2781892356796251E-3</v>
      </c>
      <c r="P3001" s="6">
        <f t="shared" si="655"/>
        <v>1.431330963184029E-3</v>
      </c>
      <c r="Q3001" s="6">
        <f t="shared" si="655"/>
        <v>1.5813116365130622E-2</v>
      </c>
      <c r="R3001" s="6">
        <f t="shared" si="655"/>
        <v>6.1091051242330554E-3</v>
      </c>
      <c r="S3001" s="6">
        <f t="shared" si="655"/>
        <v>1.2581986698233414E-2</v>
      </c>
      <c r="T3001" s="10"/>
    </row>
    <row r="3003" spans="1:20" ht="21" customHeight="1">
      <c r="A3003" s="1" t="str">
        <f>"Standing charges as fixed charges"&amp;" for "&amp;CDCM!B7&amp;" in "&amp;CDCM!C7&amp;" ("&amp;CDCM!D7&amp;")"</f>
        <v>Standing charges as fixed charges for 0 in 0 (0)</v>
      </c>
    </row>
    <row r="3004" spans="1:20">
      <c r="A3004" s="2" t="s">
        <v>738</v>
      </c>
    </row>
    <row r="3006" spans="1:20" ht="21" customHeight="1">
      <c r="A3006" s="1" t="s">
        <v>1696</v>
      </c>
    </row>
    <row r="3008" spans="1:20" ht="30">
      <c r="B3008" s="3" t="s">
        <v>1681</v>
      </c>
      <c r="C3008" s="3" t="s">
        <v>1680</v>
      </c>
      <c r="D3008" s="3" t="s">
        <v>1679</v>
      </c>
      <c r="E3008" s="3" t="s">
        <v>1678</v>
      </c>
    </row>
    <row r="3009" spans="1:6">
      <c r="A3009" s="11" t="s">
        <v>92</v>
      </c>
      <c r="B3009" s="23">
        <v>1</v>
      </c>
      <c r="C3009" s="23">
        <v>0</v>
      </c>
      <c r="D3009" s="23">
        <v>0</v>
      </c>
      <c r="E3009" s="23">
        <v>0</v>
      </c>
      <c r="F3009" s="10"/>
    </row>
    <row r="3010" spans="1:6">
      <c r="A3010" s="11" t="s">
        <v>93</v>
      </c>
      <c r="B3010" s="23">
        <v>1</v>
      </c>
      <c r="C3010" s="23">
        <v>0</v>
      </c>
      <c r="D3010" s="23">
        <v>0</v>
      </c>
      <c r="E3010" s="23">
        <v>0</v>
      </c>
      <c r="F3010" s="10"/>
    </row>
    <row r="3011" spans="1:6">
      <c r="A3011" s="11" t="s">
        <v>94</v>
      </c>
      <c r="B3011" s="23">
        <v>1</v>
      </c>
      <c r="C3011" s="23">
        <v>0</v>
      </c>
      <c r="D3011" s="23">
        <v>0</v>
      </c>
      <c r="E3011" s="23">
        <v>0</v>
      </c>
      <c r="F3011" s="10"/>
    </row>
    <row r="3012" spans="1:6">
      <c r="A3012" s="11" t="s">
        <v>95</v>
      </c>
      <c r="B3012" s="23">
        <v>1</v>
      </c>
      <c r="C3012" s="23">
        <v>0</v>
      </c>
      <c r="D3012" s="23">
        <v>0</v>
      </c>
      <c r="E3012" s="23">
        <v>0</v>
      </c>
      <c r="F3012" s="10"/>
    </row>
    <row r="3013" spans="1:6">
      <c r="A3013" s="11" t="s">
        <v>96</v>
      </c>
      <c r="B3013" s="23">
        <v>0</v>
      </c>
      <c r="C3013" s="23">
        <v>1</v>
      </c>
      <c r="D3013" s="23">
        <v>0</v>
      </c>
      <c r="E3013" s="23">
        <v>0</v>
      </c>
      <c r="F3013" s="10"/>
    </row>
    <row r="3014" spans="1:6">
      <c r="A3014" s="11" t="s">
        <v>97</v>
      </c>
      <c r="B3014" s="23">
        <v>0</v>
      </c>
      <c r="C3014" s="23">
        <v>0</v>
      </c>
      <c r="D3014" s="23">
        <v>1</v>
      </c>
      <c r="E3014" s="23">
        <v>0</v>
      </c>
      <c r="F3014" s="10"/>
    </row>
    <row r="3015" spans="1:6">
      <c r="A3015" s="11" t="s">
        <v>110</v>
      </c>
      <c r="B3015" s="23">
        <v>0</v>
      </c>
      <c r="C3015" s="23">
        <v>0</v>
      </c>
      <c r="D3015" s="23">
        <v>0</v>
      </c>
      <c r="E3015" s="23">
        <v>1</v>
      </c>
      <c r="F3015" s="10"/>
    </row>
    <row r="3016" spans="1:6">
      <c r="A3016" s="11" t="s">
        <v>1647</v>
      </c>
      <c r="B3016" s="23">
        <v>1</v>
      </c>
      <c r="C3016" s="23">
        <v>0</v>
      </c>
      <c r="D3016" s="23">
        <v>0</v>
      </c>
      <c r="E3016" s="23">
        <v>0</v>
      </c>
      <c r="F3016" s="10"/>
    </row>
    <row r="3017" spans="1:6">
      <c r="A3017" s="11" t="s">
        <v>1646</v>
      </c>
      <c r="B3017" s="23">
        <v>1</v>
      </c>
      <c r="C3017" s="23">
        <v>0</v>
      </c>
      <c r="D3017" s="23">
        <v>0</v>
      </c>
      <c r="E3017" s="23">
        <v>0</v>
      </c>
      <c r="F3017" s="10"/>
    </row>
    <row r="3019" spans="1:6" ht="21" customHeight="1">
      <c r="A3019" s="1" t="s">
        <v>1695</v>
      </c>
    </row>
    <row r="3020" spans="1:6">
      <c r="A3020" s="2" t="s">
        <v>255</v>
      </c>
    </row>
    <row r="3021" spans="1:6">
      <c r="A3021" s="12" t="s">
        <v>474</v>
      </c>
    </row>
    <row r="3022" spans="1:6">
      <c r="A3022" s="12" t="s">
        <v>400</v>
      </c>
    </row>
    <row r="3023" spans="1:6">
      <c r="A3023" s="12" t="s">
        <v>305</v>
      </c>
    </row>
    <row r="3024" spans="1:6">
      <c r="A3024" s="12" t="s">
        <v>1694</v>
      </c>
    </row>
    <row r="3025" spans="1:4">
      <c r="A3025" s="21" t="s">
        <v>258</v>
      </c>
      <c r="B3025" s="21" t="s">
        <v>385</v>
      </c>
      <c r="C3025" s="21" t="s">
        <v>314</v>
      </c>
    </row>
    <row r="3026" spans="1:4">
      <c r="A3026" s="21" t="s">
        <v>261</v>
      </c>
      <c r="B3026" s="21" t="s">
        <v>1693</v>
      </c>
      <c r="C3026" s="21" t="s">
        <v>1242</v>
      </c>
    </row>
    <row r="3028" spans="1:4" ht="30">
      <c r="B3028" s="3" t="s">
        <v>1692</v>
      </c>
      <c r="C3028" s="3" t="s">
        <v>143</v>
      </c>
    </row>
    <row r="3029" spans="1:4">
      <c r="A3029" s="11" t="s">
        <v>92</v>
      </c>
      <c r="B3029" s="15">
        <f>B$1316/C$116/(24*F$14)*1000</f>
        <v>840388.1955544356</v>
      </c>
      <c r="C3029" s="28">
        <f>E$1170</f>
        <v>966736.93418690085</v>
      </c>
      <c r="D3029" s="10"/>
    </row>
    <row r="3030" spans="1:4">
      <c r="A3030" s="11" t="s">
        <v>93</v>
      </c>
      <c r="B3030" s="15">
        <f>B$1317/C$117/(24*F$14)*1000</f>
        <v>164143.19695355842</v>
      </c>
      <c r="C3030" s="28">
        <f>E$1171</f>
        <v>58126.210234262464</v>
      </c>
      <c r="D3030" s="10"/>
    </row>
    <row r="3031" spans="1:4">
      <c r="A3031" s="11" t="s">
        <v>94</v>
      </c>
      <c r="B3031" s="15">
        <f>B$1319/C$119/(24*F$14)*1000</f>
        <v>228068.67127025506</v>
      </c>
      <c r="C3031" s="28">
        <f>E$1173</f>
        <v>63829.490061687691</v>
      </c>
      <c r="D3031" s="10"/>
    </row>
    <row r="3032" spans="1:4">
      <c r="A3032" s="11" t="s">
        <v>95</v>
      </c>
      <c r="B3032" s="15">
        <f>B$1320/C$120/(24*F$14)*1000</f>
        <v>62012.861898553339</v>
      </c>
      <c r="C3032" s="28">
        <f>E$1174</f>
        <v>13444.253795590716</v>
      </c>
      <c r="D3032" s="10"/>
    </row>
    <row r="3033" spans="1:4">
      <c r="A3033" s="11" t="s">
        <v>96</v>
      </c>
      <c r="B3033" s="15">
        <f>B$1322/C$122/(24*F$14)*1000</f>
        <v>100858.26431866981</v>
      </c>
      <c r="C3033" s="28">
        <f>E$1176</f>
        <v>4731.6153284341281</v>
      </c>
      <c r="D3033" s="10"/>
    </row>
    <row r="3034" spans="1:4">
      <c r="A3034" s="11" t="s">
        <v>97</v>
      </c>
      <c r="B3034" s="15">
        <f>B$1323/C$123/(24*F$14)*1000</f>
        <v>137.34851444583632</v>
      </c>
      <c r="C3034" s="28">
        <f>E$1177</f>
        <v>4</v>
      </c>
      <c r="D3034" s="10"/>
    </row>
    <row r="3035" spans="1:4">
      <c r="A3035" s="11" t="s">
        <v>110</v>
      </c>
      <c r="B3035" s="15">
        <f>B$1324/C$124/(24*F$14)*1000</f>
        <v>279.34647065602832</v>
      </c>
      <c r="C3035" s="28">
        <f>E$1178</f>
        <v>13</v>
      </c>
      <c r="D3035" s="10"/>
    </row>
    <row r="3036" spans="1:4">
      <c r="A3036" s="11" t="s">
        <v>1647</v>
      </c>
      <c r="B3036" s="15">
        <f>B$1325/C$125/(24*F$14)*1000</f>
        <v>0</v>
      </c>
      <c r="C3036" s="28">
        <f>E$1179</f>
        <v>0</v>
      </c>
      <c r="D3036" s="10"/>
    </row>
    <row r="3037" spans="1:4">
      <c r="A3037" s="11" t="s">
        <v>1646</v>
      </c>
      <c r="B3037" s="15">
        <f>B$1326/C$126/(24*F$14)*1000</f>
        <v>0</v>
      </c>
      <c r="C3037" s="28">
        <f>E$1180</f>
        <v>0</v>
      </c>
      <c r="D3037" s="10"/>
    </row>
    <row r="3039" spans="1:4" ht="21" customHeight="1">
      <c r="A3039" s="1" t="s">
        <v>1691</v>
      </c>
    </row>
    <row r="3040" spans="1:4">
      <c r="A3040" s="2" t="s">
        <v>255</v>
      </c>
    </row>
    <row r="3041" spans="1:6">
      <c r="A3041" s="12" t="s">
        <v>1675</v>
      </c>
    </row>
    <row r="3042" spans="1:6">
      <c r="A3042" s="12" t="s">
        <v>1690</v>
      </c>
    </row>
    <row r="3043" spans="1:6">
      <c r="A3043" s="2" t="s">
        <v>268</v>
      </c>
    </row>
    <row r="3045" spans="1:6" ht="30">
      <c r="B3045" s="3" t="s">
        <v>1681</v>
      </c>
      <c r="C3045" s="3" t="s">
        <v>1680</v>
      </c>
      <c r="D3045" s="3" t="s">
        <v>1679</v>
      </c>
      <c r="E3045" s="3" t="s">
        <v>1678</v>
      </c>
    </row>
    <row r="3046" spans="1:6" ht="30">
      <c r="A3046" s="11" t="s">
        <v>1689</v>
      </c>
      <c r="B3046" s="15">
        <f>SUMPRODUCT(B$3009:B$3017,$C$3029:$C$3037)</f>
        <v>1102136.8882784417</v>
      </c>
      <c r="C3046" s="15">
        <f>SUMPRODUCT(C$3009:C$3017,$C$3029:$C$3037)</f>
        <v>4731.6153284341281</v>
      </c>
      <c r="D3046" s="15">
        <f>SUMPRODUCT(D$3009:D$3017,$C$3029:$C$3037)</f>
        <v>4</v>
      </c>
      <c r="E3046" s="15">
        <f>SUMPRODUCT(E$3009:E$3017,$C$3029:$C$3037)</f>
        <v>13</v>
      </c>
      <c r="F3046" s="10"/>
    </row>
    <row r="3048" spans="1:6" ht="21" customHeight="1">
      <c r="A3048" s="1" t="s">
        <v>1688</v>
      </c>
    </row>
    <row r="3049" spans="1:6">
      <c r="A3049" s="2" t="s">
        <v>255</v>
      </c>
    </row>
    <row r="3050" spans="1:6">
      <c r="A3050" s="12" t="s">
        <v>1675</v>
      </c>
    </row>
    <row r="3051" spans="1:6">
      <c r="A3051" s="12" t="s">
        <v>1687</v>
      </c>
    </row>
    <row r="3052" spans="1:6">
      <c r="A3052" s="2" t="s">
        <v>268</v>
      </c>
    </row>
    <row r="3054" spans="1:6" ht="30">
      <c r="B3054" s="3" t="s">
        <v>1681</v>
      </c>
      <c r="C3054" s="3" t="s">
        <v>1680</v>
      </c>
      <c r="D3054" s="3" t="s">
        <v>1679</v>
      </c>
      <c r="E3054" s="3" t="s">
        <v>1678</v>
      </c>
    </row>
    <row r="3055" spans="1:6">
      <c r="A3055" s="11" t="s">
        <v>1686</v>
      </c>
      <c r="B3055" s="15">
        <f>SUMPRODUCT(B$3009:B$3017,$B$3029:$B$3037)</f>
        <v>1294612.9256768024</v>
      </c>
      <c r="C3055" s="15">
        <f>SUMPRODUCT(C$3009:C$3017,$B$3029:$B$3037)</f>
        <v>100858.26431866981</v>
      </c>
      <c r="D3055" s="15">
        <f>SUMPRODUCT(D$3009:D$3017,$B$3029:$B$3037)</f>
        <v>137.34851444583632</v>
      </c>
      <c r="E3055" s="15">
        <f>SUMPRODUCT(E$3009:E$3017,$B$3029:$B$3037)</f>
        <v>279.34647065602832</v>
      </c>
      <c r="F3055" s="10"/>
    </row>
    <row r="3057" spans="1:6" ht="21" customHeight="1">
      <c r="A3057" s="1" t="s">
        <v>1685</v>
      </c>
    </row>
    <row r="3058" spans="1:6">
      <c r="A3058" s="2" t="s">
        <v>255</v>
      </c>
    </row>
    <row r="3059" spans="1:6">
      <c r="A3059" s="12" t="s">
        <v>1684</v>
      </c>
    </row>
    <row r="3060" spans="1:6">
      <c r="A3060" s="12" t="s">
        <v>1683</v>
      </c>
    </row>
    <row r="3061" spans="1:6">
      <c r="A3061" s="12" t="s">
        <v>739</v>
      </c>
    </row>
    <row r="3062" spans="1:6">
      <c r="A3062" s="2" t="s">
        <v>1682</v>
      </c>
    </row>
    <row r="3064" spans="1:6" ht="30">
      <c r="B3064" s="3" t="s">
        <v>1681</v>
      </c>
      <c r="C3064" s="3" t="s">
        <v>1680</v>
      </c>
      <c r="D3064" s="3" t="s">
        <v>1679</v>
      </c>
      <c r="E3064" s="3" t="s">
        <v>1678</v>
      </c>
    </row>
    <row r="3065" spans="1:6">
      <c r="A3065" s="11" t="s">
        <v>1677</v>
      </c>
      <c r="B3065" s="6">
        <f>IF(B3046,B3055/B3046/$E14,0)</f>
        <v>1.2364620607241321</v>
      </c>
      <c r="C3065" s="6">
        <f>IF(C3046,C3055/C3046/$E14,0)</f>
        <v>22.43770607928667</v>
      </c>
      <c r="D3065" s="6">
        <f>IF(D3046,D3055/D3046/$E14,0)</f>
        <v>36.144345906799032</v>
      </c>
      <c r="E3065" s="6">
        <f>IF(E3046,E3055/E3046/$E14,0)</f>
        <v>22.619147421540756</v>
      </c>
      <c r="F3065" s="10"/>
    </row>
    <row r="3067" spans="1:6" ht="21" customHeight="1">
      <c r="A3067" s="1" t="s">
        <v>1676</v>
      </c>
    </row>
    <row r="3068" spans="1:6">
      <c r="A3068" s="2" t="s">
        <v>255</v>
      </c>
    </row>
    <row r="3069" spans="1:6">
      <c r="A3069" s="12" t="s">
        <v>1675</v>
      </c>
    </row>
    <row r="3070" spans="1:6">
      <c r="A3070" s="12" t="s">
        <v>1674</v>
      </c>
    </row>
    <row r="3071" spans="1:6">
      <c r="A3071" s="2" t="s">
        <v>268</v>
      </c>
    </row>
    <row r="3073" spans="1:3" ht="30">
      <c r="B3073" s="3" t="s">
        <v>1673</v>
      </c>
    </row>
    <row r="3074" spans="1:3">
      <c r="A3074" s="11" t="s">
        <v>92</v>
      </c>
      <c r="B3074" s="6">
        <f t="shared" ref="B3074:B3082" si="656">SUMPRODUCT($B3009:$E3009,$B$3065:$E$3065)</f>
        <v>1.2364620607241321</v>
      </c>
      <c r="C3074" s="10"/>
    </row>
    <row r="3075" spans="1:3">
      <c r="A3075" s="11" t="s">
        <v>93</v>
      </c>
      <c r="B3075" s="6">
        <f t="shared" si="656"/>
        <v>1.2364620607241321</v>
      </c>
      <c r="C3075" s="10"/>
    </row>
    <row r="3076" spans="1:3">
      <c r="A3076" s="11" t="s">
        <v>94</v>
      </c>
      <c r="B3076" s="6">
        <f t="shared" si="656"/>
        <v>1.2364620607241321</v>
      </c>
      <c r="C3076" s="10"/>
    </row>
    <row r="3077" spans="1:3">
      <c r="A3077" s="11" t="s">
        <v>95</v>
      </c>
      <c r="B3077" s="6">
        <f t="shared" si="656"/>
        <v>1.2364620607241321</v>
      </c>
      <c r="C3077" s="10"/>
    </row>
    <row r="3078" spans="1:3">
      <c r="A3078" s="11" t="s">
        <v>96</v>
      </c>
      <c r="B3078" s="6">
        <f t="shared" si="656"/>
        <v>22.43770607928667</v>
      </c>
      <c r="C3078" s="10"/>
    </row>
    <row r="3079" spans="1:3">
      <c r="A3079" s="11" t="s">
        <v>97</v>
      </c>
      <c r="B3079" s="6">
        <f t="shared" si="656"/>
        <v>36.144345906799032</v>
      </c>
      <c r="C3079" s="10"/>
    </row>
    <row r="3080" spans="1:3">
      <c r="A3080" s="11" t="s">
        <v>110</v>
      </c>
      <c r="B3080" s="6">
        <f t="shared" si="656"/>
        <v>22.619147421540756</v>
      </c>
      <c r="C3080" s="10"/>
    </row>
    <row r="3081" spans="1:3">
      <c r="A3081" s="11" t="s">
        <v>1647</v>
      </c>
      <c r="B3081" s="6">
        <f t="shared" si="656"/>
        <v>1.2364620607241321</v>
      </c>
      <c r="C3081" s="10"/>
    </row>
    <row r="3082" spans="1:3">
      <c r="A3082" s="11" t="s">
        <v>1646</v>
      </c>
      <c r="B3082" s="6">
        <f t="shared" si="656"/>
        <v>1.2364620607241321</v>
      </c>
      <c r="C3082" s="10"/>
    </row>
    <row r="3084" spans="1:3" ht="21" customHeight="1">
      <c r="A3084" s="1" t="s">
        <v>1672</v>
      </c>
    </row>
    <row r="3085" spans="1:3">
      <c r="A3085" s="2" t="s">
        <v>255</v>
      </c>
    </row>
    <row r="3086" spans="1:3">
      <c r="A3086" s="12" t="s">
        <v>740</v>
      </c>
    </row>
    <row r="3087" spans="1:3">
      <c r="A3087" s="12" t="s">
        <v>1671</v>
      </c>
    </row>
    <row r="3088" spans="1:3">
      <c r="A3088" s="2" t="s">
        <v>597</v>
      </c>
    </row>
    <row r="3090" spans="1:20" ht="30">
      <c r="B3090" s="3" t="s">
        <v>60</v>
      </c>
      <c r="C3090" s="3" t="s">
        <v>220</v>
      </c>
      <c r="D3090" s="3" t="s">
        <v>221</v>
      </c>
      <c r="E3090" s="3" t="s">
        <v>222</v>
      </c>
      <c r="F3090" s="3" t="s">
        <v>223</v>
      </c>
      <c r="G3090" s="3" t="s">
        <v>224</v>
      </c>
      <c r="H3090" s="3" t="s">
        <v>225</v>
      </c>
      <c r="I3090" s="3" t="s">
        <v>226</v>
      </c>
      <c r="J3090" s="3" t="s">
        <v>227</v>
      </c>
      <c r="K3090" s="3" t="s">
        <v>208</v>
      </c>
      <c r="L3090" s="3" t="s">
        <v>624</v>
      </c>
      <c r="M3090" s="3" t="s">
        <v>625</v>
      </c>
      <c r="N3090" s="3" t="s">
        <v>626</v>
      </c>
      <c r="O3090" s="3" t="s">
        <v>627</v>
      </c>
      <c r="P3090" s="3" t="s">
        <v>628</v>
      </c>
      <c r="Q3090" s="3" t="s">
        <v>629</v>
      </c>
      <c r="R3090" s="3" t="s">
        <v>630</v>
      </c>
      <c r="S3090" s="3" t="s">
        <v>631</v>
      </c>
    </row>
    <row r="3091" spans="1:20">
      <c r="A3091" s="11" t="s">
        <v>92</v>
      </c>
      <c r="B3091" s="6">
        <f t="shared" ref="B3091:S3091" si="657">B$2896*$B3074</f>
        <v>0</v>
      </c>
      <c r="C3091" s="6">
        <f t="shared" si="657"/>
        <v>0</v>
      </c>
      <c r="D3091" s="6">
        <f t="shared" si="657"/>
        <v>0</v>
      </c>
      <c r="E3091" s="6">
        <f t="shared" si="657"/>
        <v>0</v>
      </c>
      <c r="F3091" s="6">
        <f t="shared" si="657"/>
        <v>0</v>
      </c>
      <c r="G3091" s="6">
        <f t="shared" si="657"/>
        <v>0</v>
      </c>
      <c r="H3091" s="6">
        <f t="shared" si="657"/>
        <v>0</v>
      </c>
      <c r="I3091" s="6">
        <f t="shared" si="657"/>
        <v>0</v>
      </c>
      <c r="J3091" s="6">
        <f t="shared" si="657"/>
        <v>0.18396825591874003</v>
      </c>
      <c r="K3091" s="6">
        <f t="shared" si="657"/>
        <v>0</v>
      </c>
      <c r="L3091" s="6">
        <f t="shared" si="657"/>
        <v>0</v>
      </c>
      <c r="M3091" s="6">
        <f t="shared" si="657"/>
        <v>0</v>
      </c>
      <c r="N3091" s="6">
        <f t="shared" si="657"/>
        <v>0</v>
      </c>
      <c r="O3091" s="6">
        <f t="shared" si="657"/>
        <v>0</v>
      </c>
      <c r="P3091" s="6">
        <f t="shared" si="657"/>
        <v>0</v>
      </c>
      <c r="Q3091" s="6">
        <f t="shared" si="657"/>
        <v>0</v>
      </c>
      <c r="R3091" s="6">
        <f t="shared" si="657"/>
        <v>0</v>
      </c>
      <c r="S3091" s="6">
        <f t="shared" si="657"/>
        <v>1.9330266865425771</v>
      </c>
      <c r="T3091" s="10"/>
    </row>
    <row r="3092" spans="1:20">
      <c r="A3092" s="11" t="s">
        <v>93</v>
      </c>
      <c r="B3092" s="6">
        <f t="shared" ref="B3092:S3092" si="658">B$2897*$B3075</f>
        <v>0</v>
      </c>
      <c r="C3092" s="6">
        <f t="shared" si="658"/>
        <v>0</v>
      </c>
      <c r="D3092" s="6">
        <f t="shared" si="658"/>
        <v>0</v>
      </c>
      <c r="E3092" s="6">
        <f t="shared" si="658"/>
        <v>0</v>
      </c>
      <c r="F3092" s="6">
        <f t="shared" si="658"/>
        <v>0</v>
      </c>
      <c r="G3092" s="6">
        <f t="shared" si="658"/>
        <v>0</v>
      </c>
      <c r="H3092" s="6">
        <f t="shared" si="658"/>
        <v>0</v>
      </c>
      <c r="I3092" s="6">
        <f t="shared" si="658"/>
        <v>0</v>
      </c>
      <c r="J3092" s="6">
        <f t="shared" si="658"/>
        <v>0.18396825591874003</v>
      </c>
      <c r="K3092" s="6">
        <f t="shared" si="658"/>
        <v>0</v>
      </c>
      <c r="L3092" s="6">
        <f t="shared" si="658"/>
        <v>0</v>
      </c>
      <c r="M3092" s="6">
        <f t="shared" si="658"/>
        <v>0</v>
      </c>
      <c r="N3092" s="6">
        <f t="shared" si="658"/>
        <v>0</v>
      </c>
      <c r="O3092" s="6">
        <f t="shared" si="658"/>
        <v>0</v>
      </c>
      <c r="P3092" s="6">
        <f t="shared" si="658"/>
        <v>0</v>
      </c>
      <c r="Q3092" s="6">
        <f t="shared" si="658"/>
        <v>0</v>
      </c>
      <c r="R3092" s="6">
        <f t="shared" si="658"/>
        <v>0</v>
      </c>
      <c r="S3092" s="6">
        <f t="shared" si="658"/>
        <v>1.9330266865425771</v>
      </c>
      <c r="T3092" s="10"/>
    </row>
    <row r="3093" spans="1:20">
      <c r="A3093" s="11" t="s">
        <v>94</v>
      </c>
      <c r="B3093" s="6">
        <f t="shared" ref="B3093:S3093" si="659">B$2899*$B3076</f>
        <v>0</v>
      </c>
      <c r="C3093" s="6">
        <f t="shared" si="659"/>
        <v>0</v>
      </c>
      <c r="D3093" s="6">
        <f t="shared" si="659"/>
        <v>0</v>
      </c>
      <c r="E3093" s="6">
        <f t="shared" si="659"/>
        <v>0</v>
      </c>
      <c r="F3093" s="6">
        <f t="shared" si="659"/>
        <v>0</v>
      </c>
      <c r="G3093" s="6">
        <f t="shared" si="659"/>
        <v>0</v>
      </c>
      <c r="H3093" s="6">
        <f t="shared" si="659"/>
        <v>0</v>
      </c>
      <c r="I3093" s="6">
        <f t="shared" si="659"/>
        <v>0</v>
      </c>
      <c r="J3093" s="6">
        <f t="shared" si="659"/>
        <v>0.18396825591874003</v>
      </c>
      <c r="K3093" s="6">
        <f t="shared" si="659"/>
        <v>0</v>
      </c>
      <c r="L3093" s="6">
        <f t="shared" si="659"/>
        <v>0</v>
      </c>
      <c r="M3093" s="6">
        <f t="shared" si="659"/>
        <v>0</v>
      </c>
      <c r="N3093" s="6">
        <f t="shared" si="659"/>
        <v>0</v>
      </c>
      <c r="O3093" s="6">
        <f t="shared" si="659"/>
        <v>0</v>
      </c>
      <c r="P3093" s="6">
        <f t="shared" si="659"/>
        <v>0</v>
      </c>
      <c r="Q3093" s="6">
        <f t="shared" si="659"/>
        <v>0</v>
      </c>
      <c r="R3093" s="6">
        <f t="shared" si="659"/>
        <v>0</v>
      </c>
      <c r="S3093" s="6">
        <f t="shared" si="659"/>
        <v>1.9330266865425771</v>
      </c>
      <c r="T3093" s="10"/>
    </row>
    <row r="3094" spans="1:20">
      <c r="A3094" s="11" t="s">
        <v>95</v>
      </c>
      <c r="B3094" s="6">
        <f t="shared" ref="B3094:S3094" si="660">B$2900*$B3077</f>
        <v>0</v>
      </c>
      <c r="C3094" s="6">
        <f t="shared" si="660"/>
        <v>0</v>
      </c>
      <c r="D3094" s="6">
        <f t="shared" si="660"/>
        <v>0</v>
      </c>
      <c r="E3094" s="6">
        <f t="shared" si="660"/>
        <v>0</v>
      </c>
      <c r="F3094" s="6">
        <f t="shared" si="660"/>
        <v>0</v>
      </c>
      <c r="G3094" s="6">
        <f t="shared" si="660"/>
        <v>0</v>
      </c>
      <c r="H3094" s="6">
        <f t="shared" si="660"/>
        <v>0</v>
      </c>
      <c r="I3094" s="6">
        <f t="shared" si="660"/>
        <v>0</v>
      </c>
      <c r="J3094" s="6">
        <f t="shared" si="660"/>
        <v>0.18396825591874003</v>
      </c>
      <c r="K3094" s="6">
        <f t="shared" si="660"/>
        <v>0</v>
      </c>
      <c r="L3094" s="6">
        <f t="shared" si="660"/>
        <v>0</v>
      </c>
      <c r="M3094" s="6">
        <f t="shared" si="660"/>
        <v>0</v>
      </c>
      <c r="N3094" s="6">
        <f t="shared" si="660"/>
        <v>0</v>
      </c>
      <c r="O3094" s="6">
        <f t="shared" si="660"/>
        <v>0</v>
      </c>
      <c r="P3094" s="6">
        <f t="shared" si="660"/>
        <v>0</v>
      </c>
      <c r="Q3094" s="6">
        <f t="shared" si="660"/>
        <v>0</v>
      </c>
      <c r="R3094" s="6">
        <f t="shared" si="660"/>
        <v>0</v>
      </c>
      <c r="S3094" s="6">
        <f t="shared" si="660"/>
        <v>1.9330266865425771</v>
      </c>
      <c r="T3094" s="10"/>
    </row>
    <row r="3095" spans="1:20">
      <c r="A3095" s="11" t="s">
        <v>96</v>
      </c>
      <c r="B3095" s="6">
        <f t="shared" ref="B3095:S3095" si="661">B$2902*$B3078</f>
        <v>0</v>
      </c>
      <c r="C3095" s="6">
        <f t="shared" si="661"/>
        <v>0</v>
      </c>
      <c r="D3095" s="6">
        <f t="shared" si="661"/>
        <v>0</v>
      </c>
      <c r="E3095" s="6">
        <f t="shared" si="661"/>
        <v>0</v>
      </c>
      <c r="F3095" s="6">
        <f t="shared" si="661"/>
        <v>0</v>
      </c>
      <c r="G3095" s="6">
        <f t="shared" si="661"/>
        <v>0</v>
      </c>
      <c r="H3095" s="6">
        <f t="shared" si="661"/>
        <v>0</v>
      </c>
      <c r="I3095" s="6">
        <f t="shared" si="661"/>
        <v>0</v>
      </c>
      <c r="J3095" s="6">
        <f t="shared" si="661"/>
        <v>3.3384167499698485</v>
      </c>
      <c r="K3095" s="6">
        <f t="shared" si="661"/>
        <v>0</v>
      </c>
      <c r="L3095" s="6">
        <f t="shared" si="661"/>
        <v>0</v>
      </c>
      <c r="M3095" s="6">
        <f t="shared" si="661"/>
        <v>0</v>
      </c>
      <c r="N3095" s="6">
        <f t="shared" si="661"/>
        <v>0</v>
      </c>
      <c r="O3095" s="6">
        <f t="shared" si="661"/>
        <v>0</v>
      </c>
      <c r="P3095" s="6">
        <f t="shared" si="661"/>
        <v>0</v>
      </c>
      <c r="Q3095" s="6">
        <f t="shared" si="661"/>
        <v>0</v>
      </c>
      <c r="R3095" s="6">
        <f t="shared" si="661"/>
        <v>0</v>
      </c>
      <c r="S3095" s="6">
        <f t="shared" si="661"/>
        <v>35.078055375721441</v>
      </c>
      <c r="T3095" s="10"/>
    </row>
    <row r="3096" spans="1:20">
      <c r="A3096" s="11" t="s">
        <v>97</v>
      </c>
      <c r="B3096" s="6">
        <f t="shared" ref="B3096:S3096" si="662">B$2903*$B3079</f>
        <v>0</v>
      </c>
      <c r="C3096" s="6">
        <f t="shared" si="662"/>
        <v>0</v>
      </c>
      <c r="D3096" s="6">
        <f t="shared" si="662"/>
        <v>0</v>
      </c>
      <c r="E3096" s="6">
        <f t="shared" si="662"/>
        <v>0</v>
      </c>
      <c r="F3096" s="6">
        <f t="shared" si="662"/>
        <v>0</v>
      </c>
      <c r="G3096" s="6">
        <f t="shared" si="662"/>
        <v>0</v>
      </c>
      <c r="H3096" s="6">
        <f t="shared" si="662"/>
        <v>0</v>
      </c>
      <c r="I3096" s="6">
        <f t="shared" si="662"/>
        <v>2.4006322979842598</v>
      </c>
      <c r="J3096" s="6">
        <f t="shared" si="662"/>
        <v>0</v>
      </c>
      <c r="K3096" s="6">
        <f t="shared" si="662"/>
        <v>0</v>
      </c>
      <c r="L3096" s="6">
        <f t="shared" si="662"/>
        <v>0</v>
      </c>
      <c r="M3096" s="6">
        <f t="shared" si="662"/>
        <v>0</v>
      </c>
      <c r="N3096" s="6">
        <f t="shared" si="662"/>
        <v>0</v>
      </c>
      <c r="O3096" s="6">
        <f t="shared" si="662"/>
        <v>0</v>
      </c>
      <c r="P3096" s="6">
        <f t="shared" si="662"/>
        <v>0</v>
      </c>
      <c r="Q3096" s="6">
        <f t="shared" si="662"/>
        <v>0</v>
      </c>
      <c r="R3096" s="6">
        <f t="shared" si="662"/>
        <v>25.224385986620092</v>
      </c>
      <c r="S3096" s="6">
        <f t="shared" si="662"/>
        <v>0</v>
      </c>
      <c r="T3096" s="10"/>
    </row>
    <row r="3097" spans="1:20">
      <c r="A3097" s="11" t="s">
        <v>110</v>
      </c>
      <c r="B3097" s="6">
        <f t="shared" ref="B3097:S3097" si="663">B$2904*$B3080</f>
        <v>0</v>
      </c>
      <c r="C3097" s="6">
        <f t="shared" si="663"/>
        <v>6.2670154835876462</v>
      </c>
      <c r="D3097" s="6">
        <f t="shared" si="663"/>
        <v>0</v>
      </c>
      <c r="E3097" s="6">
        <f t="shared" si="663"/>
        <v>3.1884525092168183</v>
      </c>
      <c r="F3097" s="6">
        <f t="shared" si="663"/>
        <v>1.9504205737253284</v>
      </c>
      <c r="G3097" s="6">
        <f t="shared" si="663"/>
        <v>0.69024318132695128</v>
      </c>
      <c r="H3097" s="6">
        <f t="shared" si="663"/>
        <v>6.8673811040483761</v>
      </c>
      <c r="I3097" s="6">
        <f t="shared" si="663"/>
        <v>0</v>
      </c>
      <c r="J3097" s="6">
        <f t="shared" si="663"/>
        <v>0</v>
      </c>
      <c r="K3097" s="6">
        <f t="shared" si="663"/>
        <v>0</v>
      </c>
      <c r="L3097" s="6">
        <f t="shared" si="663"/>
        <v>3.2924995984365446</v>
      </c>
      <c r="M3097" s="6">
        <f t="shared" si="663"/>
        <v>0</v>
      </c>
      <c r="N3097" s="6">
        <f t="shared" si="663"/>
        <v>2.6173689238828497</v>
      </c>
      <c r="O3097" s="6">
        <f t="shared" si="663"/>
        <v>11.385463698506758</v>
      </c>
      <c r="P3097" s="6">
        <f t="shared" si="663"/>
        <v>4.0292533774546522</v>
      </c>
      <c r="Q3097" s="6">
        <f t="shared" si="663"/>
        <v>40.087927351285757</v>
      </c>
      <c r="R3097" s="6">
        <f t="shared" si="663"/>
        <v>0</v>
      </c>
      <c r="S3097" s="6">
        <f t="shared" si="663"/>
        <v>0</v>
      </c>
      <c r="T3097" s="10"/>
    </row>
    <row r="3098" spans="1:20">
      <c r="A3098" s="11" t="s">
        <v>1647</v>
      </c>
      <c r="B3098" s="6">
        <f t="shared" ref="B3098:S3098" si="664">B$2905*$B3081</f>
        <v>0</v>
      </c>
      <c r="C3098" s="6">
        <f t="shared" si="664"/>
        <v>0</v>
      </c>
      <c r="D3098" s="6">
        <f t="shared" si="664"/>
        <v>0</v>
      </c>
      <c r="E3098" s="6">
        <f t="shared" si="664"/>
        <v>0</v>
      </c>
      <c r="F3098" s="6">
        <f t="shared" si="664"/>
        <v>0</v>
      </c>
      <c r="G3098" s="6">
        <f t="shared" si="664"/>
        <v>0</v>
      </c>
      <c r="H3098" s="6">
        <f t="shared" si="664"/>
        <v>0</v>
      </c>
      <c r="I3098" s="6">
        <f t="shared" si="664"/>
        <v>0</v>
      </c>
      <c r="J3098" s="6">
        <f t="shared" si="664"/>
        <v>0.18396825591874003</v>
      </c>
      <c r="K3098" s="6">
        <f t="shared" si="664"/>
        <v>0</v>
      </c>
      <c r="L3098" s="6">
        <f t="shared" si="664"/>
        <v>0</v>
      </c>
      <c r="M3098" s="6">
        <f t="shared" si="664"/>
        <v>0</v>
      </c>
      <c r="N3098" s="6">
        <f t="shared" si="664"/>
        <v>0</v>
      </c>
      <c r="O3098" s="6">
        <f t="shared" si="664"/>
        <v>0</v>
      </c>
      <c r="P3098" s="6">
        <f t="shared" si="664"/>
        <v>0</v>
      </c>
      <c r="Q3098" s="6">
        <f t="shared" si="664"/>
        <v>0</v>
      </c>
      <c r="R3098" s="6">
        <f t="shared" si="664"/>
        <v>0</v>
      </c>
      <c r="S3098" s="6">
        <f t="shared" si="664"/>
        <v>1.9330266865425771</v>
      </c>
      <c r="T3098" s="10"/>
    </row>
    <row r="3099" spans="1:20">
      <c r="A3099" s="11" t="s">
        <v>1646</v>
      </c>
      <c r="B3099" s="6">
        <f t="shared" ref="B3099:S3099" si="665">B$2906*$B3082</f>
        <v>0</v>
      </c>
      <c r="C3099" s="6">
        <f t="shared" si="665"/>
        <v>0</v>
      </c>
      <c r="D3099" s="6">
        <f t="shared" si="665"/>
        <v>0</v>
      </c>
      <c r="E3099" s="6">
        <f t="shared" si="665"/>
        <v>0</v>
      </c>
      <c r="F3099" s="6">
        <f t="shared" si="665"/>
        <v>0</v>
      </c>
      <c r="G3099" s="6">
        <f t="shared" si="665"/>
        <v>0</v>
      </c>
      <c r="H3099" s="6">
        <f t="shared" si="665"/>
        <v>0</v>
      </c>
      <c r="I3099" s="6">
        <f t="shared" si="665"/>
        <v>0</v>
      </c>
      <c r="J3099" s="6">
        <f t="shared" si="665"/>
        <v>0.18396825591874003</v>
      </c>
      <c r="K3099" s="6">
        <f t="shared" si="665"/>
        <v>0</v>
      </c>
      <c r="L3099" s="6">
        <f t="shared" si="665"/>
        <v>0</v>
      </c>
      <c r="M3099" s="6">
        <f t="shared" si="665"/>
        <v>0</v>
      </c>
      <c r="N3099" s="6">
        <f t="shared" si="665"/>
        <v>0</v>
      </c>
      <c r="O3099" s="6">
        <f t="shared" si="665"/>
        <v>0</v>
      </c>
      <c r="P3099" s="6">
        <f t="shared" si="665"/>
        <v>0</v>
      </c>
      <c r="Q3099" s="6">
        <f t="shared" si="665"/>
        <v>0</v>
      </c>
      <c r="R3099" s="6">
        <f t="shared" si="665"/>
        <v>0</v>
      </c>
      <c r="S3099" s="6">
        <f t="shared" si="665"/>
        <v>1.9330266865425771</v>
      </c>
      <c r="T3099" s="10"/>
    </row>
    <row r="3101" spans="1:20" ht="21" customHeight="1">
      <c r="A3101" s="1" t="str">
        <f>"Reactive power unit charges"&amp;" for "&amp;CDCM!B7&amp;" in "&amp;CDCM!C7&amp;" ("&amp;CDCM!D7&amp;")"</f>
        <v>Reactive power unit charges for 0 in 0 (0)</v>
      </c>
    </row>
    <row r="3103" spans="1:20" ht="21" customHeight="1">
      <c r="A3103" s="1" t="s">
        <v>742</v>
      </c>
    </row>
    <row r="3104" spans="1:20">
      <c r="A3104" s="2" t="s">
        <v>255</v>
      </c>
    </row>
    <row r="3105" spans="1:20">
      <c r="A3105" s="12" t="s">
        <v>1608</v>
      </c>
    </row>
    <row r="3106" spans="1:20">
      <c r="A3106" s="2" t="s">
        <v>743</v>
      </c>
    </row>
    <row r="3108" spans="1:20" ht="30">
      <c r="B3108" s="3" t="s">
        <v>60</v>
      </c>
      <c r="C3108" s="3" t="s">
        <v>220</v>
      </c>
      <c r="D3108" s="3" t="s">
        <v>221</v>
      </c>
      <c r="E3108" s="3" t="s">
        <v>222</v>
      </c>
      <c r="F3108" s="3" t="s">
        <v>223</v>
      </c>
      <c r="G3108" s="3" t="s">
        <v>224</v>
      </c>
      <c r="H3108" s="3" t="s">
        <v>225</v>
      </c>
      <c r="I3108" s="3" t="s">
        <v>226</v>
      </c>
      <c r="J3108" s="3" t="s">
        <v>227</v>
      </c>
      <c r="K3108" s="3" t="s">
        <v>208</v>
      </c>
      <c r="L3108" s="3" t="s">
        <v>624</v>
      </c>
      <c r="M3108" s="3" t="s">
        <v>625</v>
      </c>
      <c r="N3108" s="3" t="s">
        <v>626</v>
      </c>
      <c r="O3108" s="3" t="s">
        <v>627</v>
      </c>
      <c r="P3108" s="3" t="s">
        <v>628</v>
      </c>
      <c r="Q3108" s="3" t="s">
        <v>629</v>
      </c>
      <c r="R3108" s="3" t="s">
        <v>630</v>
      </c>
      <c r="S3108" s="3" t="s">
        <v>631</v>
      </c>
    </row>
    <row r="3109" spans="1:20">
      <c r="A3109" s="11" t="s">
        <v>98</v>
      </c>
      <c r="B3109" s="6">
        <f t="shared" ref="B3109:S3109" si="666">ABS(B$2934)</f>
        <v>0</v>
      </c>
      <c r="C3109" s="6">
        <f t="shared" si="666"/>
        <v>0.30695270969509725</v>
      </c>
      <c r="D3109" s="6">
        <f t="shared" si="666"/>
        <v>2.7111801300760897E-2</v>
      </c>
      <c r="E3109" s="6">
        <f t="shared" si="666"/>
        <v>8.0450663417467261E-2</v>
      </c>
      <c r="F3109" s="6">
        <f t="shared" si="666"/>
        <v>1.7497879253902164E-2</v>
      </c>
      <c r="G3109" s="6">
        <f t="shared" si="666"/>
        <v>5.6345803785904282E-3</v>
      </c>
      <c r="H3109" s="6">
        <f t="shared" si="666"/>
        <v>6.7524106973060952E-2</v>
      </c>
      <c r="I3109" s="6">
        <f t="shared" si="666"/>
        <v>0</v>
      </c>
      <c r="J3109" s="6">
        <f t="shared" si="666"/>
        <v>0</v>
      </c>
      <c r="K3109" s="6">
        <f t="shared" si="666"/>
        <v>0.10948610903427777</v>
      </c>
      <c r="L3109" s="6">
        <f t="shared" si="666"/>
        <v>0.16126363115853676</v>
      </c>
      <c r="M3109" s="6">
        <f t="shared" si="666"/>
        <v>1.4243716986086849E-2</v>
      </c>
      <c r="N3109" s="6">
        <f t="shared" si="666"/>
        <v>4.2266335178148935E-2</v>
      </c>
      <c r="O3109" s="6">
        <f t="shared" si="666"/>
        <v>3.6771417315205564E-2</v>
      </c>
      <c r="P3109" s="6">
        <f t="shared" si="666"/>
        <v>1.1840949608279659E-2</v>
      </c>
      <c r="Q3109" s="6">
        <f t="shared" si="666"/>
        <v>0.14190046006799867</v>
      </c>
      <c r="R3109" s="6">
        <f t="shared" si="666"/>
        <v>0</v>
      </c>
      <c r="S3109" s="6">
        <f t="shared" si="666"/>
        <v>0</v>
      </c>
      <c r="T3109" s="10"/>
    </row>
    <row r="3110" spans="1:20">
      <c r="A3110" s="11" t="s">
        <v>99</v>
      </c>
      <c r="B3110" s="6">
        <f t="shared" ref="B3110:S3110" si="667">ABS(B$2935)</f>
        <v>0</v>
      </c>
      <c r="C3110" s="6">
        <f t="shared" si="667"/>
        <v>0.30101168950745028</v>
      </c>
      <c r="D3110" s="6">
        <f t="shared" si="667"/>
        <v>2.658705675945585E-2</v>
      </c>
      <c r="E3110" s="6">
        <f t="shared" si="667"/>
        <v>7.889355380293564E-2</v>
      </c>
      <c r="F3110" s="6">
        <f t="shared" si="667"/>
        <v>1.7159210623181483E-2</v>
      </c>
      <c r="G3110" s="6">
        <f t="shared" si="667"/>
        <v>5.5255239841660976E-3</v>
      </c>
      <c r="H3110" s="6">
        <f t="shared" si="667"/>
        <v>0</v>
      </c>
      <c r="I3110" s="6">
        <f t="shared" si="667"/>
        <v>0</v>
      </c>
      <c r="J3110" s="6">
        <f t="shared" si="667"/>
        <v>0</v>
      </c>
      <c r="K3110" s="6">
        <f t="shared" si="667"/>
        <v>0.10736702305296918</v>
      </c>
      <c r="L3110" s="6">
        <f t="shared" si="667"/>
        <v>0.15814239958772638</v>
      </c>
      <c r="M3110" s="6">
        <f t="shared" si="667"/>
        <v>1.3968032141194846E-2</v>
      </c>
      <c r="N3110" s="6">
        <f t="shared" si="667"/>
        <v>4.1448277077926692E-2</v>
      </c>
      <c r="O3110" s="6">
        <f t="shared" si="667"/>
        <v>3.605971246394353E-2</v>
      </c>
      <c r="P3110" s="6">
        <f t="shared" si="667"/>
        <v>1.1611769938441988E-2</v>
      </c>
      <c r="Q3110" s="6">
        <f t="shared" si="667"/>
        <v>0</v>
      </c>
      <c r="R3110" s="6">
        <f t="shared" si="667"/>
        <v>0</v>
      </c>
      <c r="S3110" s="6">
        <f t="shared" si="667"/>
        <v>0</v>
      </c>
      <c r="T3110" s="10"/>
    </row>
    <row r="3111" spans="1:20">
      <c r="A3111" s="11" t="s">
        <v>111</v>
      </c>
      <c r="B3111" s="6">
        <f t="shared" ref="B3111:S3111" si="668">ABS(B$2936)</f>
        <v>0</v>
      </c>
      <c r="C3111" s="6">
        <f t="shared" si="668"/>
        <v>0.2460359821296646</v>
      </c>
      <c r="D3111" s="6">
        <f t="shared" si="668"/>
        <v>1.479577260176536E-2</v>
      </c>
      <c r="E3111" s="6">
        <f t="shared" si="668"/>
        <v>3.5123589417944044E-2</v>
      </c>
      <c r="F3111" s="6">
        <f t="shared" si="668"/>
        <v>0</v>
      </c>
      <c r="G3111" s="6">
        <f t="shared" si="668"/>
        <v>0</v>
      </c>
      <c r="H3111" s="6">
        <f t="shared" si="668"/>
        <v>0</v>
      </c>
      <c r="I3111" s="6">
        <f t="shared" si="668"/>
        <v>0</v>
      </c>
      <c r="J3111" s="6">
        <f t="shared" si="668"/>
        <v>0</v>
      </c>
      <c r="K3111" s="6">
        <f t="shared" si="668"/>
        <v>9.335945825495777E-2</v>
      </c>
      <c r="L3111" s="6">
        <f t="shared" si="668"/>
        <v>0.12925983260841137</v>
      </c>
      <c r="M3111" s="6">
        <f t="shared" si="668"/>
        <v>1.2145702437390302E-2</v>
      </c>
      <c r="N3111" s="6">
        <f t="shared" si="668"/>
        <v>2.8832604899085797E-2</v>
      </c>
      <c r="O3111" s="6">
        <f t="shared" si="668"/>
        <v>0</v>
      </c>
      <c r="P3111" s="6">
        <f t="shared" si="668"/>
        <v>0</v>
      </c>
      <c r="Q3111" s="6">
        <f t="shared" si="668"/>
        <v>0</v>
      </c>
      <c r="R3111" s="6">
        <f t="shared" si="668"/>
        <v>0</v>
      </c>
      <c r="S3111" s="6">
        <f t="shared" si="668"/>
        <v>0</v>
      </c>
      <c r="T3111" s="10"/>
    </row>
    <row r="3113" spans="1:20" ht="21" customHeight="1">
      <c r="A3113" s="1" t="s">
        <v>744</v>
      </c>
    </row>
    <row r="3114" spans="1:20">
      <c r="A3114" s="2" t="s">
        <v>255</v>
      </c>
    </row>
    <row r="3115" spans="1:20">
      <c r="A3115" s="12" t="s">
        <v>745</v>
      </c>
    </row>
    <row r="3116" spans="1:20">
      <c r="A3116" s="12" t="s">
        <v>746</v>
      </c>
    </row>
    <row r="3117" spans="1:20">
      <c r="A3117" s="12" t="s">
        <v>739</v>
      </c>
    </row>
    <row r="3118" spans="1:20">
      <c r="A3118" s="2" t="s">
        <v>747</v>
      </c>
    </row>
    <row r="3120" spans="1:20" ht="30">
      <c r="B3120" s="3" t="s">
        <v>60</v>
      </c>
      <c r="C3120" s="3" t="s">
        <v>220</v>
      </c>
      <c r="D3120" s="3" t="s">
        <v>221</v>
      </c>
      <c r="E3120" s="3" t="s">
        <v>222</v>
      </c>
      <c r="F3120" s="3" t="s">
        <v>223</v>
      </c>
      <c r="G3120" s="3" t="s">
        <v>224</v>
      </c>
      <c r="H3120" s="3" t="s">
        <v>225</v>
      </c>
      <c r="I3120" s="3" t="s">
        <v>226</v>
      </c>
      <c r="J3120" s="3" t="s">
        <v>227</v>
      </c>
      <c r="K3120" s="3" t="s">
        <v>208</v>
      </c>
      <c r="L3120" s="3" t="s">
        <v>624</v>
      </c>
      <c r="M3120" s="3" t="s">
        <v>625</v>
      </c>
      <c r="N3120" s="3" t="s">
        <v>626</v>
      </c>
      <c r="O3120" s="3" t="s">
        <v>627</v>
      </c>
      <c r="P3120" s="3" t="s">
        <v>628</v>
      </c>
      <c r="Q3120" s="3" t="s">
        <v>629</v>
      </c>
      <c r="R3120" s="3" t="s">
        <v>630</v>
      </c>
      <c r="S3120" s="3" t="s">
        <v>631</v>
      </c>
    </row>
    <row r="3121" spans="1:20">
      <c r="A3121" s="11" t="s">
        <v>98</v>
      </c>
      <c r="B3121" s="6">
        <f t="shared" ref="B3121:J3121" si="669">B3109*B$332*$E$14</f>
        <v>0</v>
      </c>
      <c r="C3121" s="6">
        <f t="shared" si="669"/>
        <v>8.0161614219396479E-2</v>
      </c>
      <c r="D3121" s="6">
        <f t="shared" si="669"/>
        <v>7.0803276466376141E-3</v>
      </c>
      <c r="E3121" s="6">
        <f t="shared" si="669"/>
        <v>2.1009930327611406E-2</v>
      </c>
      <c r="F3121" s="6">
        <f t="shared" si="669"/>
        <v>4.5696232745499367E-3</v>
      </c>
      <c r="G3121" s="6">
        <f t="shared" si="669"/>
        <v>1.4714874452335261E-3</v>
      </c>
      <c r="H3121" s="6">
        <f t="shared" si="669"/>
        <v>1.7634121617823358E-2</v>
      </c>
      <c r="I3121" s="6">
        <f t="shared" si="669"/>
        <v>0</v>
      </c>
      <c r="J3121" s="6">
        <f t="shared" si="669"/>
        <v>0</v>
      </c>
      <c r="K3121" s="6">
        <f t="shared" ref="K3121:S3123" si="670">K3109*B$332*$E$14</f>
        <v>2.8592623415856222E-2</v>
      </c>
      <c r="L3121" s="6">
        <f t="shared" si="670"/>
        <v>4.2114477508247081E-2</v>
      </c>
      <c r="M3121" s="6">
        <f t="shared" si="670"/>
        <v>3.7197891076548328E-3</v>
      </c>
      <c r="N3121" s="6">
        <f t="shared" si="670"/>
        <v>1.1037979297801252E-2</v>
      </c>
      <c r="O3121" s="6">
        <f t="shared" si="670"/>
        <v>9.602965134433622E-3</v>
      </c>
      <c r="P3121" s="6">
        <f t="shared" si="670"/>
        <v>3.0922992516765153E-3</v>
      </c>
      <c r="Q3121" s="6">
        <f t="shared" si="670"/>
        <v>3.7057727715858212E-2</v>
      </c>
      <c r="R3121" s="6">
        <f t="shared" si="670"/>
        <v>0</v>
      </c>
      <c r="S3121" s="6">
        <f t="shared" si="670"/>
        <v>0</v>
      </c>
      <c r="T3121" s="10"/>
    </row>
    <row r="3122" spans="1:20">
      <c r="A3122" s="11" t="s">
        <v>99</v>
      </c>
      <c r="B3122" s="6">
        <f t="shared" ref="B3122:J3122" si="671">B3110*B$332*$E$14</f>
        <v>0</v>
      </c>
      <c r="C3122" s="6">
        <f t="shared" si="671"/>
        <v>7.8610099105472703E-2</v>
      </c>
      <c r="D3122" s="6">
        <f t="shared" si="671"/>
        <v>6.9432890470252744E-3</v>
      </c>
      <c r="E3122" s="6">
        <f t="shared" si="671"/>
        <v>2.0603286514818929E-2</v>
      </c>
      <c r="F3122" s="6">
        <f t="shared" si="671"/>
        <v>4.4811789531070357E-3</v>
      </c>
      <c r="G3122" s="6">
        <f t="shared" si="671"/>
        <v>1.4430070430677161E-3</v>
      </c>
      <c r="H3122" s="6">
        <f t="shared" si="671"/>
        <v>0</v>
      </c>
      <c r="I3122" s="6">
        <f t="shared" si="671"/>
        <v>0</v>
      </c>
      <c r="J3122" s="6">
        <f t="shared" si="671"/>
        <v>0</v>
      </c>
      <c r="K3122" s="6">
        <f t="shared" si="670"/>
        <v>2.8039217801355779E-2</v>
      </c>
      <c r="L3122" s="6">
        <f t="shared" si="670"/>
        <v>4.1299358588732626E-2</v>
      </c>
      <c r="M3122" s="6">
        <f t="shared" si="670"/>
        <v>3.6477931894421589E-3</v>
      </c>
      <c r="N3122" s="6">
        <f t="shared" si="670"/>
        <v>1.0824340988811548E-2</v>
      </c>
      <c r="O3122" s="6">
        <f t="shared" si="670"/>
        <v>9.4171012931220065E-3</v>
      </c>
      <c r="P3122" s="6">
        <f t="shared" si="670"/>
        <v>3.0324482984182602E-3</v>
      </c>
      <c r="Q3122" s="6">
        <f t="shared" si="670"/>
        <v>0</v>
      </c>
      <c r="R3122" s="6">
        <f t="shared" si="670"/>
        <v>0</v>
      </c>
      <c r="S3122" s="6">
        <f t="shared" si="670"/>
        <v>0</v>
      </c>
      <c r="T3122" s="10"/>
    </row>
    <row r="3123" spans="1:20">
      <c r="A3123" s="11" t="s">
        <v>111</v>
      </c>
      <c r="B3123" s="6">
        <f t="shared" ref="B3123:J3123" si="672">B3111*B$332*$E$14</f>
        <v>0</v>
      </c>
      <c r="C3123" s="6">
        <f t="shared" si="672"/>
        <v>6.4253029410163615E-2</v>
      </c>
      <c r="D3123" s="6">
        <f t="shared" si="672"/>
        <v>3.8639600756701677E-3</v>
      </c>
      <c r="E3123" s="6">
        <f t="shared" si="672"/>
        <v>9.1726299719538783E-3</v>
      </c>
      <c r="F3123" s="6">
        <f t="shared" si="672"/>
        <v>0</v>
      </c>
      <c r="G3123" s="6">
        <f t="shared" si="672"/>
        <v>0</v>
      </c>
      <c r="H3123" s="6">
        <f t="shared" si="672"/>
        <v>0</v>
      </c>
      <c r="I3123" s="6">
        <f t="shared" si="672"/>
        <v>0</v>
      </c>
      <c r="J3123" s="6">
        <f t="shared" si="672"/>
        <v>0</v>
      </c>
      <c r="K3123" s="6">
        <f t="shared" si="670"/>
        <v>2.438110054086064E-2</v>
      </c>
      <c r="L3123" s="6">
        <f t="shared" si="670"/>
        <v>3.3756590211931066E-2</v>
      </c>
      <c r="M3123" s="6">
        <f t="shared" si="670"/>
        <v>3.1718863605301995E-3</v>
      </c>
      <c r="N3123" s="6">
        <f t="shared" si="670"/>
        <v>7.5297206307663126E-3</v>
      </c>
      <c r="O3123" s="6">
        <f t="shared" si="670"/>
        <v>0</v>
      </c>
      <c r="P3123" s="6">
        <f t="shared" si="670"/>
        <v>0</v>
      </c>
      <c r="Q3123" s="6">
        <f t="shared" si="670"/>
        <v>0</v>
      </c>
      <c r="R3123" s="6">
        <f t="shared" si="670"/>
        <v>0</v>
      </c>
      <c r="S3123" s="6">
        <f t="shared" si="670"/>
        <v>0</v>
      </c>
      <c r="T3123" s="10"/>
    </row>
    <row r="3125" spans="1:20" ht="21" customHeight="1">
      <c r="A3125" s="1" t="s">
        <v>748</v>
      </c>
    </row>
    <row r="3126" spans="1:20">
      <c r="A3126" s="2" t="s">
        <v>1607</v>
      </c>
    </row>
    <row r="3127" spans="1:20">
      <c r="A3127" s="2" t="s">
        <v>1606</v>
      </c>
    </row>
    <row r="3129" spans="1:20">
      <c r="B3129" s="3" t="s">
        <v>60</v>
      </c>
      <c r="C3129" s="3" t="s">
        <v>61</v>
      </c>
      <c r="D3129" s="3" t="s">
        <v>62</v>
      </c>
      <c r="E3129" s="3" t="s">
        <v>63</v>
      </c>
      <c r="F3129" s="3" t="s">
        <v>64</v>
      </c>
      <c r="G3129" s="3" t="s">
        <v>69</v>
      </c>
      <c r="H3129" s="3" t="s">
        <v>65</v>
      </c>
      <c r="I3129" s="3" t="s">
        <v>66</v>
      </c>
      <c r="J3129" s="3" t="s">
        <v>67</v>
      </c>
    </row>
    <row r="3130" spans="1:20">
      <c r="A3130" s="11" t="s">
        <v>101</v>
      </c>
      <c r="B3130" s="23">
        <v>1</v>
      </c>
      <c r="C3130" s="23">
        <v>1</v>
      </c>
      <c r="D3130" s="23">
        <v>1</v>
      </c>
      <c r="E3130" s="23">
        <v>1</v>
      </c>
      <c r="F3130" s="23">
        <v>1</v>
      </c>
      <c r="G3130" s="23">
        <v>1</v>
      </c>
      <c r="H3130" s="23">
        <v>1</v>
      </c>
      <c r="I3130" s="23">
        <v>1</v>
      </c>
      <c r="J3130" s="23">
        <v>1</v>
      </c>
      <c r="K3130" s="10"/>
    </row>
    <row r="3131" spans="1:20">
      <c r="A3131" s="11" t="s">
        <v>102</v>
      </c>
      <c r="B3131" s="23">
        <v>1</v>
      </c>
      <c r="C3131" s="23">
        <v>1</v>
      </c>
      <c r="D3131" s="23">
        <v>1</v>
      </c>
      <c r="E3131" s="23">
        <v>1</v>
      </c>
      <c r="F3131" s="23">
        <v>1</v>
      </c>
      <c r="G3131" s="23">
        <v>1</v>
      </c>
      <c r="H3131" s="23">
        <v>1</v>
      </c>
      <c r="I3131" s="23">
        <v>1</v>
      </c>
      <c r="J3131" s="23">
        <v>1</v>
      </c>
      <c r="K3131" s="10"/>
    </row>
    <row r="3132" spans="1:20">
      <c r="A3132" s="11" t="s">
        <v>103</v>
      </c>
      <c r="B3132" s="23">
        <v>1</v>
      </c>
      <c r="C3132" s="23">
        <v>1</v>
      </c>
      <c r="D3132" s="23">
        <v>1</v>
      </c>
      <c r="E3132" s="23">
        <v>1</v>
      </c>
      <c r="F3132" s="23">
        <v>1</v>
      </c>
      <c r="G3132" s="23">
        <v>1</v>
      </c>
      <c r="H3132" s="23">
        <v>1</v>
      </c>
      <c r="I3132" s="23">
        <v>1</v>
      </c>
      <c r="J3132" s="23">
        <v>0</v>
      </c>
      <c r="K3132" s="10"/>
    </row>
    <row r="3133" spans="1:20">
      <c r="A3133" s="11" t="s">
        <v>104</v>
      </c>
      <c r="B3133" s="23">
        <v>1</v>
      </c>
      <c r="C3133" s="23">
        <v>1</v>
      </c>
      <c r="D3133" s="23">
        <v>1</v>
      </c>
      <c r="E3133" s="23">
        <v>1</v>
      </c>
      <c r="F3133" s="23">
        <v>1</v>
      </c>
      <c r="G3133" s="23">
        <v>1</v>
      </c>
      <c r="H3133" s="23">
        <v>1</v>
      </c>
      <c r="I3133" s="23">
        <v>1</v>
      </c>
      <c r="J3133" s="23">
        <v>0</v>
      </c>
      <c r="K3133" s="10"/>
    </row>
    <row r="3134" spans="1:20">
      <c r="A3134" s="11" t="s">
        <v>112</v>
      </c>
      <c r="B3134" s="23">
        <v>1</v>
      </c>
      <c r="C3134" s="23">
        <v>1</v>
      </c>
      <c r="D3134" s="23">
        <v>1</v>
      </c>
      <c r="E3134" s="23">
        <v>1</v>
      </c>
      <c r="F3134" s="23">
        <v>1</v>
      </c>
      <c r="G3134" s="23">
        <v>1</v>
      </c>
      <c r="H3134" s="23">
        <v>1</v>
      </c>
      <c r="I3134" s="23">
        <v>0</v>
      </c>
      <c r="J3134" s="23">
        <v>0</v>
      </c>
      <c r="K3134" s="10"/>
    </row>
    <row r="3135" spans="1:20">
      <c r="A3135" s="11" t="s">
        <v>113</v>
      </c>
      <c r="B3135" s="23">
        <v>1</v>
      </c>
      <c r="C3135" s="23">
        <v>1</v>
      </c>
      <c r="D3135" s="23">
        <v>1</v>
      </c>
      <c r="E3135" s="23">
        <v>1</v>
      </c>
      <c r="F3135" s="23">
        <v>1</v>
      </c>
      <c r="G3135" s="23">
        <v>1</v>
      </c>
      <c r="H3135" s="23">
        <v>1</v>
      </c>
      <c r="I3135" s="23">
        <v>0</v>
      </c>
      <c r="J3135" s="23">
        <v>0</v>
      </c>
      <c r="K3135" s="10"/>
    </row>
    <row r="3137" spans="1:3" ht="21" customHeight="1">
      <c r="A3137" s="1" t="s">
        <v>749</v>
      </c>
    </row>
    <row r="3138" spans="1:3">
      <c r="A3138" s="2" t="s">
        <v>255</v>
      </c>
    </row>
    <row r="3139" spans="1:3">
      <c r="A3139" s="12" t="s">
        <v>750</v>
      </c>
    </row>
    <row r="3140" spans="1:3">
      <c r="A3140" s="2" t="s">
        <v>743</v>
      </c>
    </row>
    <row r="3142" spans="1:3">
      <c r="B3142" s="3" t="s">
        <v>751</v>
      </c>
    </row>
    <row r="3143" spans="1:3">
      <c r="A3143" s="11" t="s">
        <v>101</v>
      </c>
      <c r="B3143" s="6">
        <f>ABS(B$935)</f>
        <v>1</v>
      </c>
      <c r="C3143" s="10"/>
    </row>
    <row r="3144" spans="1:3">
      <c r="A3144" s="11" t="s">
        <v>102</v>
      </c>
      <c r="B3144" s="6">
        <f>ABS(B$936)</f>
        <v>1</v>
      </c>
      <c r="C3144" s="10"/>
    </row>
    <row r="3145" spans="1:3">
      <c r="A3145" s="11" t="s">
        <v>103</v>
      </c>
      <c r="B3145" s="6">
        <f>ABS(B$937)</f>
        <v>1</v>
      </c>
      <c r="C3145" s="10"/>
    </row>
    <row r="3146" spans="1:3">
      <c r="A3146" s="11" t="s">
        <v>104</v>
      </c>
      <c r="B3146" s="6">
        <f>ABS(B$938)</f>
        <v>1</v>
      </c>
      <c r="C3146" s="10"/>
    </row>
    <row r="3147" spans="1:3">
      <c r="A3147" s="11" t="s">
        <v>112</v>
      </c>
      <c r="B3147" s="6">
        <f>ABS(B$939)</f>
        <v>1</v>
      </c>
      <c r="C3147" s="10"/>
    </row>
    <row r="3148" spans="1:3">
      <c r="A3148" s="11" t="s">
        <v>113</v>
      </c>
      <c r="B3148" s="6">
        <f>ABS(B$940)</f>
        <v>1</v>
      </c>
      <c r="C3148" s="10"/>
    </row>
    <row r="3150" spans="1:3" ht="21" customHeight="1">
      <c r="A3150" s="1" t="s">
        <v>752</v>
      </c>
    </row>
    <row r="3151" spans="1:3">
      <c r="A3151" s="2" t="s">
        <v>255</v>
      </c>
    </row>
    <row r="3152" spans="1:3">
      <c r="A3152" s="12" t="s">
        <v>720</v>
      </c>
    </row>
    <row r="3153" spans="1:20">
      <c r="A3153" s="12" t="s">
        <v>753</v>
      </c>
    </row>
    <row r="3154" spans="1:20">
      <c r="A3154" s="12" t="s">
        <v>299</v>
      </c>
    </row>
    <row r="3155" spans="1:20">
      <c r="A3155" s="12" t="s">
        <v>754</v>
      </c>
    </row>
    <row r="3156" spans="1:20">
      <c r="A3156" s="12" t="s">
        <v>755</v>
      </c>
    </row>
    <row r="3157" spans="1:20">
      <c r="A3157" s="12" t="s">
        <v>756</v>
      </c>
    </row>
    <row r="3158" spans="1:20">
      <c r="A3158" s="12" t="s">
        <v>757</v>
      </c>
    </row>
    <row r="3159" spans="1:20">
      <c r="A3159" s="2" t="s">
        <v>758</v>
      </c>
    </row>
    <row r="3161" spans="1:20" ht="30">
      <c r="B3161" s="3" t="s">
        <v>60</v>
      </c>
      <c r="C3161" s="3" t="s">
        <v>220</v>
      </c>
      <c r="D3161" s="3" t="s">
        <v>221</v>
      </c>
      <c r="E3161" s="3" t="s">
        <v>222</v>
      </c>
      <c r="F3161" s="3" t="s">
        <v>223</v>
      </c>
      <c r="G3161" s="3" t="s">
        <v>224</v>
      </c>
      <c r="H3161" s="3" t="s">
        <v>225</v>
      </c>
      <c r="I3161" s="3" t="s">
        <v>226</v>
      </c>
      <c r="J3161" s="3" t="s">
        <v>227</v>
      </c>
      <c r="K3161" s="3" t="s">
        <v>208</v>
      </c>
      <c r="L3161" s="3" t="s">
        <v>624</v>
      </c>
      <c r="M3161" s="3" t="s">
        <v>625</v>
      </c>
      <c r="N3161" s="3" t="s">
        <v>626</v>
      </c>
      <c r="O3161" s="3" t="s">
        <v>627</v>
      </c>
      <c r="P3161" s="3" t="s">
        <v>628</v>
      </c>
      <c r="Q3161" s="3" t="s">
        <v>629</v>
      </c>
      <c r="R3161" s="3" t="s">
        <v>630</v>
      </c>
      <c r="S3161" s="3" t="s">
        <v>631</v>
      </c>
    </row>
    <row r="3162" spans="1:20">
      <c r="A3162" s="11" t="s">
        <v>101</v>
      </c>
      <c r="B3162" s="6">
        <f t="shared" ref="B3162:J3162" si="673">B$2754*$B$3143*$I$368/B$410*(1-B$2737)*B3130/(24*$F$14)*100</f>
        <v>0</v>
      </c>
      <c r="C3162" s="6">
        <f t="shared" si="673"/>
        <v>0.23581411526422724</v>
      </c>
      <c r="D3162" s="6">
        <f t="shared" si="673"/>
        <v>2.9754911215146854E-2</v>
      </c>
      <c r="E3162" s="6">
        <f t="shared" si="673"/>
        <v>8.829374045018612E-2</v>
      </c>
      <c r="F3162" s="6">
        <f t="shared" si="673"/>
        <v>1.920373485617892E-2</v>
      </c>
      <c r="G3162" s="6">
        <f t="shared" si="673"/>
        <v>1.4429080277352995E-2</v>
      </c>
      <c r="H3162" s="6">
        <f t="shared" si="673"/>
        <v>6.4843610440335417E-2</v>
      </c>
      <c r="I3162" s="6">
        <f t="shared" si="673"/>
        <v>5.0102259879443237E-3</v>
      </c>
      <c r="J3162" s="6">
        <f t="shared" si="673"/>
        <v>1.0318793907376533E-2</v>
      </c>
      <c r="K3162" s="6">
        <f t="shared" ref="K3162:S3162" si="674">K$2754*$B$3143*$I$368/B$410*(1-K$2737)*B3130/(24*$F$14)*100</f>
        <v>8.4111881472839475E-2</v>
      </c>
      <c r="L3162" s="6">
        <f t="shared" si="674"/>
        <v>0.1238895742074448</v>
      </c>
      <c r="M3162" s="6">
        <f t="shared" si="674"/>
        <v>1.5632326660744548E-2</v>
      </c>
      <c r="N3162" s="6">
        <f t="shared" si="674"/>
        <v>4.6386849647653772E-2</v>
      </c>
      <c r="O3162" s="6">
        <f t="shared" si="674"/>
        <v>4.0356236213576431E-2</v>
      </c>
      <c r="P3162" s="6">
        <f t="shared" si="674"/>
        <v>3.032240219824503E-2</v>
      </c>
      <c r="Q3162" s="6">
        <f t="shared" si="674"/>
        <v>0.13626745419416789</v>
      </c>
      <c r="R3162" s="6">
        <f t="shared" si="674"/>
        <v>5.2644411352050904E-2</v>
      </c>
      <c r="S3162" s="6">
        <f t="shared" si="674"/>
        <v>0.10842361850026069</v>
      </c>
      <c r="T3162" s="10"/>
    </row>
    <row r="3163" spans="1:20">
      <c r="A3163" s="11" t="s">
        <v>102</v>
      </c>
      <c r="B3163" s="6">
        <f t="shared" ref="B3163:J3163" si="675">B$2754*$B$3144*$I$369/B$410*(1-B$2738)*B3131/(24*$F$14)*100</f>
        <v>0</v>
      </c>
      <c r="C3163" s="6">
        <f t="shared" si="675"/>
        <v>0.23581411526422724</v>
      </c>
      <c r="D3163" s="6">
        <f t="shared" si="675"/>
        <v>2.9754911215146854E-2</v>
      </c>
      <c r="E3163" s="6">
        <f t="shared" si="675"/>
        <v>8.829374045018612E-2</v>
      </c>
      <c r="F3163" s="6">
        <f t="shared" si="675"/>
        <v>1.920373485617892E-2</v>
      </c>
      <c r="G3163" s="6">
        <f t="shared" si="675"/>
        <v>1.4429080277352995E-2</v>
      </c>
      <c r="H3163" s="6">
        <f t="shared" si="675"/>
        <v>6.4843610440335417E-2</v>
      </c>
      <c r="I3163" s="6">
        <f t="shared" si="675"/>
        <v>5.0102259879443237E-3</v>
      </c>
      <c r="J3163" s="6">
        <f t="shared" si="675"/>
        <v>1.0318793907376533E-2</v>
      </c>
      <c r="K3163" s="6">
        <f t="shared" ref="K3163:S3163" si="676">K$2754*$B$3144*$I$369/B$410*(1-K$2738)*B3131/(24*$F$14)*100</f>
        <v>8.4111881472839475E-2</v>
      </c>
      <c r="L3163" s="6">
        <f t="shared" si="676"/>
        <v>0.1238895742074448</v>
      </c>
      <c r="M3163" s="6">
        <f t="shared" si="676"/>
        <v>1.5632326660744548E-2</v>
      </c>
      <c r="N3163" s="6">
        <f t="shared" si="676"/>
        <v>4.6386849647653772E-2</v>
      </c>
      <c r="O3163" s="6">
        <f t="shared" si="676"/>
        <v>4.0356236213576431E-2</v>
      </c>
      <c r="P3163" s="6">
        <f t="shared" si="676"/>
        <v>3.032240219824503E-2</v>
      </c>
      <c r="Q3163" s="6">
        <f t="shared" si="676"/>
        <v>0.13626745419416789</v>
      </c>
      <c r="R3163" s="6">
        <f t="shared" si="676"/>
        <v>5.2644411352050904E-2</v>
      </c>
      <c r="S3163" s="6">
        <f t="shared" si="676"/>
        <v>0.10842361850026069</v>
      </c>
      <c r="T3163" s="10"/>
    </row>
    <row r="3164" spans="1:20">
      <c r="A3164" s="11" t="s">
        <v>103</v>
      </c>
      <c r="B3164" s="6">
        <f t="shared" ref="B3164:J3164" si="677">B$2754*$B$3145*$I$370/B$410*(1-B$2739)*B3132/(24*$F$14)*100</f>
        <v>0</v>
      </c>
      <c r="C3164" s="6">
        <f t="shared" si="677"/>
        <v>0.23124997109782289</v>
      </c>
      <c r="D3164" s="6">
        <f t="shared" si="677"/>
        <v>2.9179009707756911E-2</v>
      </c>
      <c r="E3164" s="6">
        <f t="shared" si="677"/>
        <v>8.6584829344698661E-2</v>
      </c>
      <c r="F3164" s="6">
        <f t="shared" si="677"/>
        <v>1.8832049665414168E-2</v>
      </c>
      <c r="G3164" s="6">
        <f t="shared" si="677"/>
        <v>1.4149807755855845E-2</v>
      </c>
      <c r="H3164" s="6">
        <f t="shared" si="677"/>
        <v>6.3588572818909575E-2</v>
      </c>
      <c r="I3164" s="6">
        <f t="shared" si="677"/>
        <v>4.9132538720486271E-3</v>
      </c>
      <c r="J3164" s="6">
        <f t="shared" si="677"/>
        <v>0</v>
      </c>
      <c r="K3164" s="6">
        <f t="shared" ref="K3164:S3164" si="678">K$2754*$B$3145*$I$370/B$410*(1-K$2739)*B3132/(24*$F$14)*100</f>
        <v>8.2483909573365169E-2</v>
      </c>
      <c r="L3164" s="6">
        <f t="shared" si="678"/>
        <v>0.12149171148084911</v>
      </c>
      <c r="M3164" s="6">
        <f t="shared" si="678"/>
        <v>1.5329765499568852E-2</v>
      </c>
      <c r="N3164" s="6">
        <f t="shared" si="678"/>
        <v>4.5489039654473387E-2</v>
      </c>
      <c r="O3164" s="6">
        <f t="shared" si="678"/>
        <v>3.9575147770733017E-2</v>
      </c>
      <c r="P3164" s="6">
        <f t="shared" si="678"/>
        <v>2.9735516994408032E-2</v>
      </c>
      <c r="Q3164" s="6">
        <f t="shared" si="678"/>
        <v>0.13363001959686144</v>
      </c>
      <c r="R3164" s="6">
        <f t="shared" si="678"/>
        <v>5.1625487261366051E-2</v>
      </c>
      <c r="S3164" s="6">
        <f t="shared" si="678"/>
        <v>0</v>
      </c>
      <c r="T3164" s="10"/>
    </row>
    <row r="3165" spans="1:20">
      <c r="A3165" s="11" t="s">
        <v>104</v>
      </c>
      <c r="B3165" s="6">
        <f t="shared" ref="B3165:J3165" si="679">B$2754*$B$3146*$I$371/B$410*(1-B$2740)*B3133/(24*$F$14)*100</f>
        <v>0</v>
      </c>
      <c r="C3165" s="6">
        <f t="shared" si="679"/>
        <v>0.23124997109782289</v>
      </c>
      <c r="D3165" s="6">
        <f t="shared" si="679"/>
        <v>2.9179009707756911E-2</v>
      </c>
      <c r="E3165" s="6">
        <f t="shared" si="679"/>
        <v>8.6584829344698661E-2</v>
      </c>
      <c r="F3165" s="6">
        <f t="shared" si="679"/>
        <v>1.8832049665414168E-2</v>
      </c>
      <c r="G3165" s="6">
        <f t="shared" si="679"/>
        <v>1.4149807755855845E-2</v>
      </c>
      <c r="H3165" s="6">
        <f t="shared" si="679"/>
        <v>6.3588572818909575E-2</v>
      </c>
      <c r="I3165" s="6">
        <f t="shared" si="679"/>
        <v>4.9132538720486271E-3</v>
      </c>
      <c r="J3165" s="6">
        <f t="shared" si="679"/>
        <v>0</v>
      </c>
      <c r="K3165" s="6">
        <f t="shared" ref="K3165:S3165" si="680">K$2754*$B$3146*$I$371/B$410*(1-K$2740)*B3133/(24*$F$14)*100</f>
        <v>8.2483909573365169E-2</v>
      </c>
      <c r="L3165" s="6">
        <f t="shared" si="680"/>
        <v>0.12149171148084911</v>
      </c>
      <c r="M3165" s="6">
        <f t="shared" si="680"/>
        <v>1.5329765499568852E-2</v>
      </c>
      <c r="N3165" s="6">
        <f t="shared" si="680"/>
        <v>4.5489039654473387E-2</v>
      </c>
      <c r="O3165" s="6">
        <f t="shared" si="680"/>
        <v>3.9575147770733017E-2</v>
      </c>
      <c r="P3165" s="6">
        <f t="shared" si="680"/>
        <v>2.9735516994408032E-2</v>
      </c>
      <c r="Q3165" s="6">
        <f t="shared" si="680"/>
        <v>0.13363001959686144</v>
      </c>
      <c r="R3165" s="6">
        <f t="shared" si="680"/>
        <v>5.1625487261366051E-2</v>
      </c>
      <c r="S3165" s="6">
        <f t="shared" si="680"/>
        <v>0</v>
      </c>
      <c r="T3165" s="10"/>
    </row>
    <row r="3166" spans="1:20">
      <c r="A3166" s="11" t="s">
        <v>112</v>
      </c>
      <c r="B3166" s="6">
        <f t="shared" ref="B3166:J3166" si="681">B$2754*$B$3147*$I$372/B$410*(1-B$2741)*B3134/(24*$F$14)*100</f>
        <v>0</v>
      </c>
      <c r="C3166" s="6">
        <f t="shared" si="681"/>
        <v>0.22688143310997866</v>
      </c>
      <c r="D3166" s="6">
        <f t="shared" si="681"/>
        <v>1.8321785403866132E-2</v>
      </c>
      <c r="E3166" s="6">
        <f t="shared" si="681"/>
        <v>5.4367460663417105E-2</v>
      </c>
      <c r="F3166" s="6">
        <f t="shared" si="681"/>
        <v>6.6514657823884445E-3</v>
      </c>
      <c r="G3166" s="6">
        <f t="shared" si="681"/>
        <v>4.997701460415083E-3</v>
      </c>
      <c r="H3166" s="6">
        <f t="shared" si="681"/>
        <v>2.2459436108681848E-2</v>
      </c>
      <c r="I3166" s="6">
        <f t="shared" si="681"/>
        <v>0</v>
      </c>
      <c r="J3166" s="6">
        <f t="shared" si="681"/>
        <v>0</v>
      </c>
      <c r="K3166" s="6">
        <f t="shared" ref="K3166:S3166" si="682">K$2754*$B$3147*$I$372/B$410*(1-K$2741)*B3134/(24*$F$14)*100</f>
        <v>8.0925707898154051E-2</v>
      </c>
      <c r="L3166" s="6">
        <f t="shared" si="682"/>
        <v>0.11919661429967894</v>
      </c>
      <c r="M3166" s="6">
        <f t="shared" si="682"/>
        <v>1.5040171245300675E-2</v>
      </c>
      <c r="N3166" s="6">
        <f t="shared" si="682"/>
        <v>4.4629707232429282E-2</v>
      </c>
      <c r="O3166" s="6">
        <f t="shared" si="682"/>
        <v>3.8827534546868596E-2</v>
      </c>
      <c r="P3166" s="6">
        <f t="shared" si="682"/>
        <v>2.9173784013592618E-2</v>
      </c>
      <c r="Q3166" s="6">
        <f t="shared" si="682"/>
        <v>0.13110561791086808</v>
      </c>
      <c r="R3166" s="6">
        <f t="shared" si="682"/>
        <v>0</v>
      </c>
      <c r="S3166" s="6">
        <f t="shared" si="682"/>
        <v>0</v>
      </c>
      <c r="T3166" s="10"/>
    </row>
    <row r="3167" spans="1:20">
      <c r="A3167" s="11" t="s">
        <v>113</v>
      </c>
      <c r="B3167" s="6">
        <f t="shared" ref="B3167:J3167" si="683">B$2754*$B$3148*$I$373/B$410*(1-B$2742)*B3135/(24*$F$14)*100</f>
        <v>0</v>
      </c>
      <c r="C3167" s="6">
        <f t="shared" si="683"/>
        <v>0.22688143310997866</v>
      </c>
      <c r="D3167" s="6">
        <f t="shared" si="683"/>
        <v>1.8321785403866132E-2</v>
      </c>
      <c r="E3167" s="6">
        <f t="shared" si="683"/>
        <v>5.4367460663417105E-2</v>
      </c>
      <c r="F3167" s="6">
        <f t="shared" si="683"/>
        <v>6.6514657823884445E-3</v>
      </c>
      <c r="G3167" s="6">
        <f t="shared" si="683"/>
        <v>4.997701460415083E-3</v>
      </c>
      <c r="H3167" s="6">
        <f t="shared" si="683"/>
        <v>2.2459436108681848E-2</v>
      </c>
      <c r="I3167" s="6">
        <f t="shared" si="683"/>
        <v>0</v>
      </c>
      <c r="J3167" s="6">
        <f t="shared" si="683"/>
        <v>0</v>
      </c>
      <c r="K3167" s="6">
        <f t="shared" ref="K3167:S3167" si="684">K$2754*$B$3148*$I$373/B$410*(1-K$2742)*B3135/(24*$F$14)*100</f>
        <v>8.0925707898154051E-2</v>
      </c>
      <c r="L3167" s="6">
        <f t="shared" si="684"/>
        <v>0.11919661429967894</v>
      </c>
      <c r="M3167" s="6">
        <f t="shared" si="684"/>
        <v>1.5040171245300675E-2</v>
      </c>
      <c r="N3167" s="6">
        <f t="shared" si="684"/>
        <v>4.4629707232429282E-2</v>
      </c>
      <c r="O3167" s="6">
        <f t="shared" si="684"/>
        <v>3.8827534546868596E-2</v>
      </c>
      <c r="P3167" s="6">
        <f t="shared" si="684"/>
        <v>2.9173784013592618E-2</v>
      </c>
      <c r="Q3167" s="6">
        <f t="shared" si="684"/>
        <v>0.13110561791086808</v>
      </c>
      <c r="R3167" s="6">
        <f t="shared" si="684"/>
        <v>0</v>
      </c>
      <c r="S3167" s="6">
        <f t="shared" si="684"/>
        <v>0</v>
      </c>
      <c r="T3167" s="10"/>
    </row>
    <row r="3169" spans="1:20" ht="21" customHeight="1">
      <c r="A3169" s="1" t="s">
        <v>759</v>
      </c>
    </row>
    <row r="3170" spans="1:20">
      <c r="A3170" s="2" t="s">
        <v>255</v>
      </c>
    </row>
    <row r="3171" spans="1:20">
      <c r="A3171" s="12" t="s">
        <v>760</v>
      </c>
    </row>
    <row r="3172" spans="1:20">
      <c r="A3172" s="12" t="s">
        <v>746</v>
      </c>
    </row>
    <row r="3173" spans="1:20">
      <c r="A3173" s="12" t="s">
        <v>739</v>
      </c>
    </row>
    <row r="3174" spans="1:20">
      <c r="A3174" s="2" t="s">
        <v>747</v>
      </c>
    </row>
    <row r="3176" spans="1:20" ht="30">
      <c r="B3176" s="3" t="s">
        <v>60</v>
      </c>
      <c r="C3176" s="3" t="s">
        <v>220</v>
      </c>
      <c r="D3176" s="3" t="s">
        <v>221</v>
      </c>
      <c r="E3176" s="3" t="s">
        <v>222</v>
      </c>
      <c r="F3176" s="3" t="s">
        <v>223</v>
      </c>
      <c r="G3176" s="3" t="s">
        <v>224</v>
      </c>
      <c r="H3176" s="3" t="s">
        <v>225</v>
      </c>
      <c r="I3176" s="3" t="s">
        <v>226</v>
      </c>
      <c r="J3176" s="3" t="s">
        <v>227</v>
      </c>
      <c r="K3176" s="3" t="s">
        <v>208</v>
      </c>
      <c r="L3176" s="3" t="s">
        <v>624</v>
      </c>
      <c r="M3176" s="3" t="s">
        <v>625</v>
      </c>
      <c r="N3176" s="3" t="s">
        <v>626</v>
      </c>
      <c r="O3176" s="3" t="s">
        <v>627</v>
      </c>
      <c r="P3176" s="3" t="s">
        <v>628</v>
      </c>
      <c r="Q3176" s="3" t="s">
        <v>629</v>
      </c>
      <c r="R3176" s="3" t="s">
        <v>630</v>
      </c>
      <c r="S3176" s="3" t="s">
        <v>631</v>
      </c>
    </row>
    <row r="3177" spans="1:20">
      <c r="A3177" s="11" t="s">
        <v>101</v>
      </c>
      <c r="B3177" s="6">
        <f t="shared" ref="B3177:J3177" si="685">B3162*B$332*$E$14</f>
        <v>0</v>
      </c>
      <c r="C3177" s="6">
        <f t="shared" si="685"/>
        <v>6.1583558438289311E-2</v>
      </c>
      <c r="D3177" s="6">
        <f t="shared" si="685"/>
        <v>7.7705836717658176E-3</v>
      </c>
      <c r="E3177" s="6">
        <f t="shared" si="685"/>
        <v>2.3058173250810662E-2</v>
      </c>
      <c r="F3177" s="6">
        <f t="shared" si="685"/>
        <v>5.0151125449966333E-3</v>
      </c>
      <c r="G3177" s="6">
        <f t="shared" si="685"/>
        <v>3.7681972831671911E-3</v>
      </c>
      <c r="H3177" s="6">
        <f t="shared" si="685"/>
        <v>1.693410196598118E-2</v>
      </c>
      <c r="I3177" s="6">
        <f t="shared" si="685"/>
        <v>1.3084354368349867E-3</v>
      </c>
      <c r="J3177" s="6">
        <f t="shared" si="685"/>
        <v>2.6947837575182943E-3</v>
      </c>
      <c r="K3177" s="6">
        <f t="shared" ref="K3177:S3182" si="686">K3162*B$332*$E$14</f>
        <v>2.1966068325609097E-2</v>
      </c>
      <c r="L3177" s="6">
        <f t="shared" si="686"/>
        <v>3.2354131238285358E-2</v>
      </c>
      <c r="M3177" s="6">
        <f t="shared" si="686"/>
        <v>4.0824286593688468E-3</v>
      </c>
      <c r="N3177" s="6">
        <f t="shared" si="686"/>
        <v>1.211406392210051E-2</v>
      </c>
      <c r="O3177" s="6">
        <f t="shared" si="686"/>
        <v>1.0539151265069359E-2</v>
      </c>
      <c r="P3177" s="6">
        <f t="shared" si="686"/>
        <v>7.9187856319481824E-3</v>
      </c>
      <c r="Q3177" s="6">
        <f t="shared" si="686"/>
        <v>3.5586651457231423E-2</v>
      </c>
      <c r="R3177" s="6">
        <f t="shared" si="686"/>
        <v>1.3748244795760881E-2</v>
      </c>
      <c r="S3177" s="6">
        <f t="shared" si="686"/>
        <v>2.8315150848879242E-2</v>
      </c>
      <c r="T3177" s="10"/>
    </row>
    <row r="3178" spans="1:20">
      <c r="A3178" s="11" t="s">
        <v>102</v>
      </c>
      <c r="B3178" s="6">
        <f t="shared" ref="B3178:J3178" si="687">B3163*B$332*$E$14</f>
        <v>0</v>
      </c>
      <c r="C3178" s="6">
        <f t="shared" si="687"/>
        <v>6.1583558438289311E-2</v>
      </c>
      <c r="D3178" s="6">
        <f t="shared" si="687"/>
        <v>7.7705836717658176E-3</v>
      </c>
      <c r="E3178" s="6">
        <f t="shared" si="687"/>
        <v>2.3058173250810662E-2</v>
      </c>
      <c r="F3178" s="6">
        <f t="shared" si="687"/>
        <v>5.0151125449966333E-3</v>
      </c>
      <c r="G3178" s="6">
        <f t="shared" si="687"/>
        <v>3.7681972831671911E-3</v>
      </c>
      <c r="H3178" s="6">
        <f t="shared" si="687"/>
        <v>1.693410196598118E-2</v>
      </c>
      <c r="I3178" s="6">
        <f t="shared" si="687"/>
        <v>1.3084354368349867E-3</v>
      </c>
      <c r="J3178" s="6">
        <f t="shared" si="687"/>
        <v>2.6947837575182943E-3</v>
      </c>
      <c r="K3178" s="6">
        <f t="shared" si="686"/>
        <v>2.1966068325609097E-2</v>
      </c>
      <c r="L3178" s="6">
        <f t="shared" si="686"/>
        <v>3.2354131238285358E-2</v>
      </c>
      <c r="M3178" s="6">
        <f t="shared" si="686"/>
        <v>4.0824286593688468E-3</v>
      </c>
      <c r="N3178" s="6">
        <f t="shared" si="686"/>
        <v>1.211406392210051E-2</v>
      </c>
      <c r="O3178" s="6">
        <f t="shared" si="686"/>
        <v>1.0539151265069359E-2</v>
      </c>
      <c r="P3178" s="6">
        <f t="shared" si="686"/>
        <v>7.9187856319481824E-3</v>
      </c>
      <c r="Q3178" s="6">
        <f t="shared" si="686"/>
        <v>3.5586651457231423E-2</v>
      </c>
      <c r="R3178" s="6">
        <f t="shared" si="686"/>
        <v>1.3748244795760881E-2</v>
      </c>
      <c r="S3178" s="6">
        <f t="shared" si="686"/>
        <v>2.8315150848879242E-2</v>
      </c>
      <c r="T3178" s="10"/>
    </row>
    <row r="3179" spans="1:20">
      <c r="A3179" s="11" t="s">
        <v>103</v>
      </c>
      <c r="B3179" s="6">
        <f t="shared" ref="B3179:J3179" si="688">B3164*B$332*$E$14</f>
        <v>0</v>
      </c>
      <c r="C3179" s="6">
        <f t="shared" si="688"/>
        <v>6.0391618597548241E-2</v>
      </c>
      <c r="D3179" s="6">
        <f t="shared" si="688"/>
        <v>7.6201852781187353E-3</v>
      </c>
      <c r="E3179" s="6">
        <f t="shared" si="688"/>
        <v>2.2611886026601427E-2</v>
      </c>
      <c r="F3179" s="6">
        <f t="shared" si="688"/>
        <v>4.918045850577344E-3</v>
      </c>
      <c r="G3179" s="6">
        <f t="shared" si="688"/>
        <v>3.6952644325252471E-3</v>
      </c>
      <c r="H3179" s="6">
        <f t="shared" si="688"/>
        <v>1.6606345153736386E-2</v>
      </c>
      <c r="I3179" s="6">
        <f t="shared" si="688"/>
        <v>1.2831108799930193E-3</v>
      </c>
      <c r="J3179" s="6">
        <f t="shared" si="688"/>
        <v>0</v>
      </c>
      <c r="K3179" s="6">
        <f t="shared" si="686"/>
        <v>2.1540918616081182E-2</v>
      </c>
      <c r="L3179" s="6">
        <f t="shared" si="686"/>
        <v>3.1727922246576612E-2</v>
      </c>
      <c r="M3179" s="6">
        <f t="shared" si="686"/>
        <v>4.0034139111229999E-3</v>
      </c>
      <c r="N3179" s="6">
        <f t="shared" si="686"/>
        <v>1.1879598168769535E-2</v>
      </c>
      <c r="O3179" s="6">
        <f t="shared" si="686"/>
        <v>1.0335167692197047E-2</v>
      </c>
      <c r="P3179" s="6">
        <f t="shared" si="686"/>
        <v>7.7655188132653152E-3</v>
      </c>
      <c r="Q3179" s="6">
        <f t="shared" si="686"/>
        <v>3.4897877558059211E-2</v>
      </c>
      <c r="R3179" s="6">
        <f t="shared" si="686"/>
        <v>1.3482149735197766E-2</v>
      </c>
      <c r="S3179" s="6">
        <f t="shared" si="686"/>
        <v>0</v>
      </c>
      <c r="T3179" s="10"/>
    </row>
    <row r="3180" spans="1:20">
      <c r="A3180" s="11" t="s">
        <v>104</v>
      </c>
      <c r="B3180" s="6">
        <f t="shared" ref="B3180:J3180" si="689">B3165*B$332*$E$14</f>
        <v>0</v>
      </c>
      <c r="C3180" s="6">
        <f t="shared" si="689"/>
        <v>6.0391618597548241E-2</v>
      </c>
      <c r="D3180" s="6">
        <f t="shared" si="689"/>
        <v>7.6201852781187353E-3</v>
      </c>
      <c r="E3180" s="6">
        <f t="shared" si="689"/>
        <v>2.2611886026601427E-2</v>
      </c>
      <c r="F3180" s="6">
        <f t="shared" si="689"/>
        <v>4.918045850577344E-3</v>
      </c>
      <c r="G3180" s="6">
        <f t="shared" si="689"/>
        <v>3.6952644325252471E-3</v>
      </c>
      <c r="H3180" s="6">
        <f t="shared" si="689"/>
        <v>1.6606345153736386E-2</v>
      </c>
      <c r="I3180" s="6">
        <f t="shared" si="689"/>
        <v>1.2831108799930193E-3</v>
      </c>
      <c r="J3180" s="6">
        <f t="shared" si="689"/>
        <v>0</v>
      </c>
      <c r="K3180" s="6">
        <f t="shared" si="686"/>
        <v>2.1540918616081182E-2</v>
      </c>
      <c r="L3180" s="6">
        <f t="shared" si="686"/>
        <v>3.1727922246576612E-2</v>
      </c>
      <c r="M3180" s="6">
        <f t="shared" si="686"/>
        <v>4.0034139111229999E-3</v>
      </c>
      <c r="N3180" s="6">
        <f t="shared" si="686"/>
        <v>1.1879598168769535E-2</v>
      </c>
      <c r="O3180" s="6">
        <f t="shared" si="686"/>
        <v>1.0335167692197047E-2</v>
      </c>
      <c r="P3180" s="6">
        <f t="shared" si="686"/>
        <v>7.7655188132653152E-3</v>
      </c>
      <c r="Q3180" s="6">
        <f t="shared" si="686"/>
        <v>3.4897877558059211E-2</v>
      </c>
      <c r="R3180" s="6">
        <f t="shared" si="686"/>
        <v>1.3482149735197766E-2</v>
      </c>
      <c r="S3180" s="6">
        <f t="shared" si="686"/>
        <v>0</v>
      </c>
      <c r="T3180" s="10"/>
    </row>
    <row r="3181" spans="1:20">
      <c r="A3181" s="11" t="s">
        <v>112</v>
      </c>
      <c r="B3181" s="6">
        <f t="shared" ref="B3181:J3181" si="690">B3166*B$332*$E$14</f>
        <v>0</v>
      </c>
      <c r="C3181" s="6">
        <f t="shared" si="690"/>
        <v>5.925076189283892E-2</v>
      </c>
      <c r="D3181" s="6">
        <f t="shared" si="690"/>
        <v>4.7847888191447519E-3</v>
      </c>
      <c r="E3181" s="6">
        <f t="shared" si="690"/>
        <v>1.4198224254537883E-2</v>
      </c>
      <c r="F3181" s="6">
        <f t="shared" si="690"/>
        <v>1.7370500966450825E-3</v>
      </c>
      <c r="G3181" s="6">
        <f t="shared" si="690"/>
        <v>1.3051646191736066E-3</v>
      </c>
      <c r="H3181" s="6">
        <f t="shared" si="690"/>
        <v>5.8653486223258899E-3</v>
      </c>
      <c r="I3181" s="6">
        <f t="shared" si="690"/>
        <v>0</v>
      </c>
      <c r="J3181" s="6">
        <f t="shared" si="690"/>
        <v>0</v>
      </c>
      <c r="K3181" s="6">
        <f t="shared" si="686"/>
        <v>2.1133989608390174E-2</v>
      </c>
      <c r="L3181" s="6">
        <f t="shared" si="686"/>
        <v>3.1128550783083953E-2</v>
      </c>
      <c r="M3181" s="6">
        <f t="shared" si="686"/>
        <v>3.9277855092305436E-3</v>
      </c>
      <c r="N3181" s="6">
        <f t="shared" si="686"/>
        <v>1.1655180947724168E-2</v>
      </c>
      <c r="O3181" s="6">
        <f t="shared" si="686"/>
        <v>1.0139926272447834E-2</v>
      </c>
      <c r="P3181" s="6">
        <f t="shared" si="686"/>
        <v>7.6188205725259981E-3</v>
      </c>
      <c r="Q3181" s="6">
        <f t="shared" si="686"/>
        <v>3.4238622540280081E-2</v>
      </c>
      <c r="R3181" s="6">
        <f t="shared" si="686"/>
        <v>0</v>
      </c>
      <c r="S3181" s="6">
        <f t="shared" si="686"/>
        <v>0</v>
      </c>
      <c r="T3181" s="10"/>
    </row>
    <row r="3182" spans="1:20">
      <c r="A3182" s="11" t="s">
        <v>113</v>
      </c>
      <c r="B3182" s="6">
        <f t="shared" ref="B3182:J3182" si="691">B3167*B$332*$E$14</f>
        <v>0</v>
      </c>
      <c r="C3182" s="6">
        <f t="shared" si="691"/>
        <v>5.925076189283892E-2</v>
      </c>
      <c r="D3182" s="6">
        <f t="shared" si="691"/>
        <v>4.7847888191447519E-3</v>
      </c>
      <c r="E3182" s="6">
        <f t="shared" si="691"/>
        <v>1.4198224254537883E-2</v>
      </c>
      <c r="F3182" s="6">
        <f t="shared" si="691"/>
        <v>1.7370500966450825E-3</v>
      </c>
      <c r="G3182" s="6">
        <f t="shared" si="691"/>
        <v>1.3051646191736066E-3</v>
      </c>
      <c r="H3182" s="6">
        <f t="shared" si="691"/>
        <v>5.8653486223258899E-3</v>
      </c>
      <c r="I3182" s="6">
        <f t="shared" si="691"/>
        <v>0</v>
      </c>
      <c r="J3182" s="6">
        <f t="shared" si="691"/>
        <v>0</v>
      </c>
      <c r="K3182" s="6">
        <f t="shared" si="686"/>
        <v>2.1133989608390174E-2</v>
      </c>
      <c r="L3182" s="6">
        <f t="shared" si="686"/>
        <v>3.1128550783083953E-2</v>
      </c>
      <c r="M3182" s="6">
        <f t="shared" si="686"/>
        <v>3.9277855092305436E-3</v>
      </c>
      <c r="N3182" s="6">
        <f t="shared" si="686"/>
        <v>1.1655180947724168E-2</v>
      </c>
      <c r="O3182" s="6">
        <f t="shared" si="686"/>
        <v>1.0139926272447834E-2</v>
      </c>
      <c r="P3182" s="6">
        <f t="shared" si="686"/>
        <v>7.6188205725259981E-3</v>
      </c>
      <c r="Q3182" s="6">
        <f t="shared" si="686"/>
        <v>3.4238622540280081E-2</v>
      </c>
      <c r="R3182" s="6">
        <f t="shared" si="686"/>
        <v>0</v>
      </c>
      <c r="S3182" s="6">
        <f t="shared" si="686"/>
        <v>0</v>
      </c>
      <c r="T3182" s="10"/>
    </row>
    <row r="3184" spans="1:20" ht="21" customHeight="1">
      <c r="A3184" s="1" t="str">
        <f>"Aggregation"&amp;" for "&amp;CDCM!B7&amp;" in "&amp;CDCM!C7&amp;" ("&amp;CDCM!D7&amp;")"</f>
        <v>Aggregation for 0 in 0 (0)</v>
      </c>
    </row>
    <row r="3185" spans="1:24">
      <c r="A3185" s="2" t="s">
        <v>761</v>
      </c>
    </row>
    <row r="3187" spans="1:24" ht="21" customHeight="1">
      <c r="A3187" s="1" t="s">
        <v>762</v>
      </c>
    </row>
    <row r="3188" spans="1:24">
      <c r="A3188" s="2" t="s">
        <v>255</v>
      </c>
    </row>
    <row r="3189" spans="1:24">
      <c r="A3189" s="12" t="s">
        <v>1605</v>
      </c>
    </row>
    <row r="3190" spans="1:24">
      <c r="A3190" s="12" t="s">
        <v>1670</v>
      </c>
    </row>
    <row r="3191" spans="1:24">
      <c r="A3191" s="12" t="s">
        <v>1669</v>
      </c>
    </row>
    <row r="3192" spans="1:24">
      <c r="A3192" s="12" t="s">
        <v>1668</v>
      </c>
    </row>
    <row r="3193" spans="1:24">
      <c r="A3193" s="12" t="s">
        <v>1667</v>
      </c>
    </row>
    <row r="3194" spans="1:24">
      <c r="A3194" s="12" t="s">
        <v>1666</v>
      </c>
    </row>
    <row r="3195" spans="1:24">
      <c r="A3195" s="2" t="s">
        <v>287</v>
      </c>
    </row>
    <row r="3197" spans="1:24" ht="30">
      <c r="B3197" s="3" t="s">
        <v>60</v>
      </c>
      <c r="C3197" s="3" t="s">
        <v>220</v>
      </c>
      <c r="D3197" s="3" t="s">
        <v>221</v>
      </c>
      <c r="E3197" s="3" t="s">
        <v>222</v>
      </c>
      <c r="F3197" s="3" t="s">
        <v>223</v>
      </c>
      <c r="G3197" s="3" t="s">
        <v>224</v>
      </c>
      <c r="H3197" s="3" t="s">
        <v>225</v>
      </c>
      <c r="I3197" s="3" t="s">
        <v>226</v>
      </c>
      <c r="J3197" s="3" t="s">
        <v>227</v>
      </c>
      <c r="K3197" s="3" t="s">
        <v>364</v>
      </c>
      <c r="L3197" s="3" t="s">
        <v>376</v>
      </c>
      <c r="M3197" s="3" t="s">
        <v>208</v>
      </c>
      <c r="N3197" s="3" t="s">
        <v>624</v>
      </c>
      <c r="O3197" s="3" t="s">
        <v>625</v>
      </c>
      <c r="P3197" s="3" t="s">
        <v>626</v>
      </c>
      <c r="Q3197" s="3" t="s">
        <v>627</v>
      </c>
      <c r="R3197" s="3" t="s">
        <v>628</v>
      </c>
      <c r="S3197" s="3" t="s">
        <v>629</v>
      </c>
      <c r="T3197" s="3" t="s">
        <v>630</v>
      </c>
      <c r="U3197" s="3" t="s">
        <v>631</v>
      </c>
      <c r="V3197" s="3" t="s">
        <v>632</v>
      </c>
      <c r="W3197" s="3" t="s">
        <v>633</v>
      </c>
    </row>
    <row r="3198" spans="1:24">
      <c r="A3198" s="11" t="s">
        <v>92</v>
      </c>
      <c r="B3198" s="7">
        <f>$B$2950</f>
        <v>0</v>
      </c>
      <c r="C3198" s="7">
        <f>$C$2950</f>
        <v>0.4595832198527755</v>
      </c>
      <c r="D3198" s="7">
        <f>$D$2950</f>
        <v>4.0592992158920101E-2</v>
      </c>
      <c r="E3198" s="7">
        <f>$E$2950</f>
        <v>0.12045430375714339</v>
      </c>
      <c r="F3198" s="7">
        <f>$F$2950</f>
        <v>2.6198601393978449E-2</v>
      </c>
      <c r="G3198" s="7">
        <f>$G$2950</f>
        <v>8.4363438116709395E-3</v>
      </c>
      <c r="H3198" s="7">
        <f>$H$2950</f>
        <v>0.12637511219231581</v>
      </c>
      <c r="I3198" s="7">
        <f>$I$2950</f>
        <v>9.7645375856718671E-3</v>
      </c>
      <c r="J3198" s="7">
        <f>$J$2950</f>
        <v>0</v>
      </c>
      <c r="K3198" s="9"/>
      <c r="L3198" s="9"/>
      <c r="M3198" s="7">
        <f>$K$2950</f>
        <v>0.16392746155949353</v>
      </c>
      <c r="N3198" s="7">
        <f>$L$2950</f>
        <v>0.24145106562704655</v>
      </c>
      <c r="O3198" s="7">
        <f>$M$2950</f>
        <v>2.1326325223321597E-2</v>
      </c>
      <c r="P3198" s="7">
        <f>$N$2950</f>
        <v>6.3283032854948545E-2</v>
      </c>
      <c r="Q3198" s="7">
        <f>$O$2950</f>
        <v>5.50557979600797E-2</v>
      </c>
      <c r="R3198" s="7">
        <f>$P$2950</f>
        <v>1.7728795267822148E-2</v>
      </c>
      <c r="S3198" s="7">
        <f>$Q$2950</f>
        <v>0.26557458313945392</v>
      </c>
      <c r="T3198" s="7">
        <f>$R$2950</f>
        <v>0.10259982974013192</v>
      </c>
      <c r="U3198" s="7">
        <f>$S$2950</f>
        <v>0</v>
      </c>
      <c r="V3198" s="9"/>
      <c r="W3198" s="9"/>
      <c r="X3198" s="10"/>
    </row>
    <row r="3199" spans="1:24">
      <c r="A3199" s="11" t="s">
        <v>93</v>
      </c>
      <c r="B3199" s="7">
        <f>$B$2951</f>
        <v>0</v>
      </c>
      <c r="C3199" s="7">
        <f>$C$2951</f>
        <v>0.49003584765678648</v>
      </c>
      <c r="D3199" s="7">
        <f>$D$2951</f>
        <v>4.3282740670762467E-2</v>
      </c>
      <c r="E3199" s="7">
        <f>$E$2951</f>
        <v>0.12789094733505676</v>
      </c>
      <c r="F3199" s="7">
        <f>$F$2951</f>
        <v>2.7816058427308304E-2</v>
      </c>
      <c r="G3199" s="7">
        <f>$G$2951</f>
        <v>8.9953477679202212E-3</v>
      </c>
      <c r="H3199" s="7">
        <f>$H$2951</f>
        <v>0.13417729639976328</v>
      </c>
      <c r="I3199" s="7">
        <f>$I$2951</f>
        <v>1.0367383507011347E-2</v>
      </c>
      <c r="J3199" s="7">
        <f>$J$2951</f>
        <v>0</v>
      </c>
      <c r="K3199" s="9"/>
      <c r="L3199" s="9"/>
      <c r="M3199" s="7">
        <f>$K$2951</f>
        <v>0.18104141512406793</v>
      </c>
      <c r="N3199" s="7">
        <f>$L$2951</f>
        <v>0.25744995139310584</v>
      </c>
      <c r="O3199" s="7">
        <f>$M$2951</f>
        <v>2.2739437400613773E-2</v>
      </c>
      <c r="P3199" s="7">
        <f>$N$2951</f>
        <v>6.7190019531161216E-2</v>
      </c>
      <c r="Q3199" s="7">
        <f>$O$2951</f>
        <v>5.8454849165026315E-2</v>
      </c>
      <c r="R3199" s="7">
        <f>$P$2951</f>
        <v>1.8903530071841861E-2</v>
      </c>
      <c r="S3199" s="7">
        <f>$Q$2951</f>
        <v>0.281970705623736</v>
      </c>
      <c r="T3199" s="7">
        <f>$R$2951</f>
        <v>0.10893416849875605</v>
      </c>
      <c r="U3199" s="7">
        <f>$S$2951</f>
        <v>0</v>
      </c>
      <c r="V3199" s="9"/>
      <c r="W3199" s="9"/>
      <c r="X3199" s="10"/>
    </row>
    <row r="3200" spans="1:24">
      <c r="A3200" s="11" t="s">
        <v>129</v>
      </c>
      <c r="B3200" s="7">
        <f>$B$2952</f>
        <v>0</v>
      </c>
      <c r="C3200" s="7">
        <f>$C$2952</f>
        <v>5.7955356154345279E-2</v>
      </c>
      <c r="D3200" s="7">
        <f>$D$2952</f>
        <v>5.1189452014683947E-3</v>
      </c>
      <c r="E3200" s="7">
        <f>$E$2952</f>
        <v>1.4828693755631938E-2</v>
      </c>
      <c r="F3200" s="7">
        <f>$F$2952</f>
        <v>3.2252150797404742E-3</v>
      </c>
      <c r="G3200" s="7">
        <f>$G$2952</f>
        <v>1.0638580547012182E-3</v>
      </c>
      <c r="H3200" s="7">
        <f>$H$2952</f>
        <v>1.5557583071599837E-2</v>
      </c>
      <c r="I3200" s="7">
        <f>$I$2952</f>
        <v>1.2020769122140969E-3</v>
      </c>
      <c r="J3200" s="7">
        <f>$J$2952</f>
        <v>0</v>
      </c>
      <c r="K3200" s="9"/>
      <c r="L3200" s="9"/>
      <c r="M3200" s="7">
        <f>$K$2952</f>
        <v>1.300731700956788E-2</v>
      </c>
      <c r="N3200" s="7">
        <f>$L$2952</f>
        <v>3.0447983951077163E-2</v>
      </c>
      <c r="O3200" s="7">
        <f>$M$2952</f>
        <v>2.6893383404575492E-3</v>
      </c>
      <c r="P3200" s="7">
        <f>$N$2952</f>
        <v>7.7905453343170847E-3</v>
      </c>
      <c r="Q3200" s="7">
        <f>$O$2952</f>
        <v>6.7777201972623723E-3</v>
      </c>
      <c r="R3200" s="7">
        <f>$P$2952</f>
        <v>2.2356748452723096E-3</v>
      </c>
      <c r="S3200" s="7">
        <f>$Q$2952</f>
        <v>3.2693926574798964E-2</v>
      </c>
      <c r="T3200" s="7">
        <f>$R$2952</f>
        <v>1.2630694023717429E-2</v>
      </c>
      <c r="U3200" s="7">
        <f>$S$2952</f>
        <v>0</v>
      </c>
      <c r="V3200" s="9"/>
      <c r="W3200" s="9"/>
      <c r="X3200" s="10"/>
    </row>
    <row r="3201" spans="1:24">
      <c r="A3201" s="11" t="s">
        <v>94</v>
      </c>
      <c r="B3201" s="7">
        <f>$B$2953</f>
        <v>0</v>
      </c>
      <c r="C3201" s="7">
        <f>$C$2953</f>
        <v>0.36146021878238083</v>
      </c>
      <c r="D3201" s="7">
        <f>$D$2953</f>
        <v>3.1926213127396269E-2</v>
      </c>
      <c r="E3201" s="7">
        <f>$E$2953</f>
        <v>9.4736790005701205E-2</v>
      </c>
      <c r="F3201" s="7">
        <f>$F$2953</f>
        <v>2.060508691917301E-2</v>
      </c>
      <c r="G3201" s="7">
        <f>$G$2953</f>
        <v>6.6351479953224097E-3</v>
      </c>
      <c r="H3201" s="7">
        <f>$H$2953</f>
        <v>9.9393480284844918E-2</v>
      </c>
      <c r="I3201" s="7">
        <f>$I$2953</f>
        <v>7.6797666658856342E-3</v>
      </c>
      <c r="J3201" s="7">
        <f>$J$2953</f>
        <v>0</v>
      </c>
      <c r="K3201" s="9"/>
      <c r="L3201" s="9"/>
      <c r="M3201" s="7">
        <f>$K$2953</f>
        <v>0.12892824098041752</v>
      </c>
      <c r="N3201" s="7">
        <f>$L$2953</f>
        <v>0.18990022097575537</v>
      </c>
      <c r="O3201" s="7">
        <f>$M$2953</f>
        <v>1.6773062740444347E-2</v>
      </c>
      <c r="P3201" s="7">
        <f>$N$2953</f>
        <v>4.9771832201118929E-2</v>
      </c>
      <c r="Q3201" s="7">
        <f>$O$2953</f>
        <v>4.3301147466315151E-2</v>
      </c>
      <c r="R3201" s="7">
        <f>$P$2953</f>
        <v>1.3943620957936354E-2</v>
      </c>
      <c r="S3201" s="7">
        <f>$Q$2953</f>
        <v>0.2088732633784538</v>
      </c>
      <c r="T3201" s="7">
        <f>$R$2953</f>
        <v>8.0694323253976255E-2</v>
      </c>
      <c r="U3201" s="7">
        <f>$S$2953</f>
        <v>0</v>
      </c>
      <c r="V3201" s="9"/>
      <c r="W3201" s="9"/>
      <c r="X3201" s="10"/>
    </row>
    <row r="3202" spans="1:24">
      <c r="A3202" s="11" t="s">
        <v>95</v>
      </c>
      <c r="B3202" s="7">
        <f>$B$2954</f>
        <v>0</v>
      </c>
      <c r="C3202" s="7">
        <f>$C$2954</f>
        <v>0.45124433032085204</v>
      </c>
      <c r="D3202" s="7">
        <f>$D$2954</f>
        <v>3.9856454220281029E-2</v>
      </c>
      <c r="E3202" s="7">
        <f>$E$2954</f>
        <v>0.12105886569662579</v>
      </c>
      <c r="F3202" s="7">
        <f>$F$2954</f>
        <v>2.6330092563462963E-2</v>
      </c>
      <c r="G3202" s="7">
        <f>$G$2954</f>
        <v>8.2832709054813138E-3</v>
      </c>
      <c r="H3202" s="7">
        <f>$H$2954</f>
        <v>0.12700939075726711</v>
      </c>
      <c r="I3202" s="7">
        <f>$I$2954</f>
        <v>9.8135459448322384E-3</v>
      </c>
      <c r="J3202" s="7">
        <f>$J$2954</f>
        <v>0</v>
      </c>
      <c r="K3202" s="9"/>
      <c r="L3202" s="9"/>
      <c r="M3202" s="7">
        <f>$K$2954</f>
        <v>0.16947258272938118</v>
      </c>
      <c r="N3202" s="7">
        <f>$L$2954</f>
        <v>0.23707006632886909</v>
      </c>
      <c r="O3202" s="7">
        <f>$M$2954</f>
        <v>2.0939370559885189E-2</v>
      </c>
      <c r="P3202" s="7">
        <f>$N$2954</f>
        <v>6.3600651336694541E-2</v>
      </c>
      <c r="Q3202" s="7">
        <f>$O$2954</f>
        <v>5.5332123827701703E-2</v>
      </c>
      <c r="R3202" s="7">
        <f>$P$2954</f>
        <v>1.7407115844191721E-2</v>
      </c>
      <c r="S3202" s="7">
        <f>$Q$2954</f>
        <v>0.26690750591640772</v>
      </c>
      <c r="T3202" s="7">
        <f>$R$2954</f>
        <v>0.10311477980935747</v>
      </c>
      <c r="U3202" s="7">
        <f>$S$2954</f>
        <v>0</v>
      </c>
      <c r="V3202" s="9"/>
      <c r="W3202" s="9"/>
      <c r="X3202" s="10"/>
    </row>
    <row r="3203" spans="1:24">
      <c r="A3203" s="11" t="s">
        <v>130</v>
      </c>
      <c r="B3203" s="7">
        <f>$B$2955</f>
        <v>0</v>
      </c>
      <c r="C3203" s="7">
        <f>$C$2955</f>
        <v>5.9231457874346138E-2</v>
      </c>
      <c r="D3203" s="7">
        <f>$D$2955</f>
        <v>5.2316577307260411E-3</v>
      </c>
      <c r="E3203" s="7">
        <f>$E$2955</f>
        <v>1.5264804143749052E-2</v>
      </c>
      <c r="F3203" s="7">
        <f>$F$2955</f>
        <v>3.3200683300244086E-3</v>
      </c>
      <c r="G3203" s="7">
        <f>$G$2955</f>
        <v>1.0872828282428644E-3</v>
      </c>
      <c r="H3203" s="7">
        <f>$H$2955</f>
        <v>1.6015130021002764E-2</v>
      </c>
      <c r="I3203" s="7">
        <f>$I$2955</f>
        <v>1.2374298729921293E-3</v>
      </c>
      <c r="J3203" s="7">
        <f>$J$2955</f>
        <v>0</v>
      </c>
      <c r="K3203" s="9"/>
      <c r="L3203" s="9"/>
      <c r="M3203" s="7">
        <f>$K$2955</f>
        <v>1.3665954236421038E-2</v>
      </c>
      <c r="N3203" s="7">
        <f>$L$2955</f>
        <v>3.1118409038053622E-2</v>
      </c>
      <c r="O3203" s="7">
        <f>$M$2955</f>
        <v>2.7485540801172712E-3</v>
      </c>
      <c r="P3203" s="7">
        <f>$N$2955</f>
        <v>8.0196644870477556E-3</v>
      </c>
      <c r="Q3203" s="7">
        <f>$O$2955</f>
        <v>6.9770522648394404E-3</v>
      </c>
      <c r="R3203" s="7">
        <f>$P$2955</f>
        <v>2.2849015035956021E-3</v>
      </c>
      <c r="S3203" s="7">
        <f>$Q$2955</f>
        <v>3.3655451658705461E-2</v>
      </c>
      <c r="T3203" s="7">
        <f>$R$2955</f>
        <v>1.3002161461351965E-2</v>
      </c>
      <c r="U3203" s="7">
        <f>$S$2955</f>
        <v>0</v>
      </c>
      <c r="V3203" s="9"/>
      <c r="W3203" s="9"/>
      <c r="X3203" s="10"/>
    </row>
    <row r="3204" spans="1:24">
      <c r="A3204" s="11" t="s">
        <v>96</v>
      </c>
      <c r="B3204" s="7">
        <f>$B$2956</f>
        <v>0</v>
      </c>
      <c r="C3204" s="7">
        <f>$C$2956</f>
        <v>0.42080358295609266</v>
      </c>
      <c r="D3204" s="7">
        <f>$D$2956</f>
        <v>3.7167755056100947E-2</v>
      </c>
      <c r="E3204" s="7">
        <f>$E$2956</f>
        <v>0.11275697589987491</v>
      </c>
      <c r="F3204" s="7">
        <f>$F$2956</f>
        <v>2.4524445983658511E-2</v>
      </c>
      <c r="G3204" s="7">
        <f>$G$2956</f>
        <v>7.7244850326298317E-3</v>
      </c>
      <c r="H3204" s="7">
        <f>$H$2956</f>
        <v>0.11829943003566511</v>
      </c>
      <c r="I3204" s="7">
        <f>$I$2956</f>
        <v>9.1405594891891175E-3</v>
      </c>
      <c r="J3204" s="7">
        <f>$J$2956</f>
        <v>0</v>
      </c>
      <c r="K3204" s="9"/>
      <c r="L3204" s="9"/>
      <c r="M3204" s="7">
        <f>$K$2956</f>
        <v>0.15812773401984928</v>
      </c>
      <c r="N3204" s="7">
        <f>$L$2956</f>
        <v>0.22107742218476958</v>
      </c>
      <c r="O3204" s="7">
        <f>$M$2956</f>
        <v>1.9526809677984862E-2</v>
      </c>
      <c r="P3204" s="7">
        <f>$N$2956</f>
        <v>5.9239090575651236E-2</v>
      </c>
      <c r="Q3204" s="7">
        <f>$O$2956</f>
        <v>5.1537596334036637E-2</v>
      </c>
      <c r="R3204" s="7">
        <f>$P$2956</f>
        <v>1.6232839337747041E-2</v>
      </c>
      <c r="S3204" s="7">
        <f>$Q$2956</f>
        <v>0.2486037105909456</v>
      </c>
      <c r="T3204" s="7">
        <f>$R$2956</f>
        <v>9.6043446921283179E-2</v>
      </c>
      <c r="U3204" s="7">
        <f>$S$2956</f>
        <v>0</v>
      </c>
      <c r="V3204" s="9"/>
      <c r="W3204" s="9"/>
      <c r="X3204" s="10"/>
    </row>
    <row r="3205" spans="1:24">
      <c r="A3205" s="11" t="s">
        <v>97</v>
      </c>
      <c r="B3205" s="7">
        <f>$B$2957</f>
        <v>0</v>
      </c>
      <c r="C3205" s="7">
        <f>$C$2957</f>
        <v>0.41747066454769044</v>
      </c>
      <c r="D3205" s="7">
        <f>$D$2957</f>
        <v>3.687337283113213E-2</v>
      </c>
      <c r="E3205" s="7">
        <f>$E$2957</f>
        <v>0.11208268567464537</v>
      </c>
      <c r="F3205" s="7">
        <f>$F$2957</f>
        <v>2.4377789033399093E-2</v>
      </c>
      <c r="G3205" s="7">
        <f>$G$2957</f>
        <v>7.6633042836927057E-3</v>
      </c>
      <c r="H3205" s="7">
        <f>$H$2957</f>
        <v>0.11759199576220511</v>
      </c>
      <c r="I3205" s="7">
        <f>$I$2957</f>
        <v>0</v>
      </c>
      <c r="J3205" s="7">
        <f>$J$2957</f>
        <v>0</v>
      </c>
      <c r="K3205" s="9"/>
      <c r="L3205" s="9"/>
      <c r="M3205" s="7">
        <f>$K$2957</f>
        <v>0.15707860885005587</v>
      </c>
      <c r="N3205" s="7">
        <f>$L$2957</f>
        <v>0.219326408077652</v>
      </c>
      <c r="O3205" s="7">
        <f>$M$2957</f>
        <v>1.9372150197721084E-2</v>
      </c>
      <c r="P3205" s="7">
        <f>$N$2957</f>
        <v>5.8884838970303839E-2</v>
      </c>
      <c r="Q3205" s="7">
        <f>$O$2957</f>
        <v>5.1229399903948605E-2</v>
      </c>
      <c r="R3205" s="7">
        <f>$P$2957</f>
        <v>1.6104269308306343E-2</v>
      </c>
      <c r="S3205" s="7">
        <f>$Q$2957</f>
        <v>0.24711705266428999</v>
      </c>
      <c r="T3205" s="7">
        <f>$R$2957</f>
        <v>0</v>
      </c>
      <c r="U3205" s="7">
        <f>$S$2957</f>
        <v>0</v>
      </c>
      <c r="V3205" s="9"/>
      <c r="W3205" s="9"/>
      <c r="X3205" s="10"/>
    </row>
    <row r="3206" spans="1:24">
      <c r="A3206" s="11" t="s">
        <v>110</v>
      </c>
      <c r="B3206" s="7">
        <f>$B$2958</f>
        <v>0</v>
      </c>
      <c r="C3206" s="7">
        <f>$C$2958</f>
        <v>0.36268141221976169</v>
      </c>
      <c r="D3206" s="7">
        <f>$D$2958</f>
        <v>2.181043461871637E-2</v>
      </c>
      <c r="E3206" s="7">
        <f>$E$2958</f>
        <v>5.3245854209316906E-2</v>
      </c>
      <c r="F3206" s="7">
        <f>$F$2958</f>
        <v>0</v>
      </c>
      <c r="G3206" s="7">
        <f>$G$2958</f>
        <v>0</v>
      </c>
      <c r="H3206" s="7">
        <f>$H$2958</f>
        <v>0</v>
      </c>
      <c r="I3206" s="7">
        <f>$I$2958</f>
        <v>0</v>
      </c>
      <c r="J3206" s="7">
        <f>$J$2958</f>
        <v>0</v>
      </c>
      <c r="K3206" s="9"/>
      <c r="L3206" s="9"/>
      <c r="M3206" s="7">
        <f>$K$2958</f>
        <v>0.14590714754974921</v>
      </c>
      <c r="N3206" s="7">
        <f>$L$2958</f>
        <v>0.19054179891867246</v>
      </c>
      <c r="O3206" s="7">
        <f>$M$2958</f>
        <v>1.7903968656390292E-2</v>
      </c>
      <c r="P3206" s="7">
        <f>$N$2958</f>
        <v>4.3708991659811465E-2</v>
      </c>
      <c r="Q3206" s="7">
        <f>$O$2958</f>
        <v>0</v>
      </c>
      <c r="R3206" s="7">
        <f>$P$2958</f>
        <v>0</v>
      </c>
      <c r="S3206" s="7">
        <f>$Q$2958</f>
        <v>0</v>
      </c>
      <c r="T3206" s="7">
        <f>$R$2958</f>
        <v>0</v>
      </c>
      <c r="U3206" s="7">
        <f>$S$2958</f>
        <v>0</v>
      </c>
      <c r="V3206" s="9"/>
      <c r="W3206" s="9"/>
      <c r="X3206" s="10"/>
    </row>
    <row r="3207" spans="1:24">
      <c r="A3207" s="11" t="s">
        <v>1647</v>
      </c>
      <c r="B3207" s="7">
        <f>$B$2959</f>
        <v>0</v>
      </c>
      <c r="C3207" s="7">
        <f>$C$2959</f>
        <v>2.8139411396464551</v>
      </c>
      <c r="D3207" s="7">
        <f>$D$2959</f>
        <v>0.2485432141189203</v>
      </c>
      <c r="E3207" s="7">
        <f>$E$2959</f>
        <v>0.68333382108114549</v>
      </c>
      <c r="F3207" s="7">
        <f>$F$2959</f>
        <v>0.14862391661507937</v>
      </c>
      <c r="G3207" s="7">
        <f>$G$2959</f>
        <v>5.1654137693424466E-2</v>
      </c>
      <c r="H3207" s="7">
        <f>$H$2959</f>
        <v>0.71692239804102753</v>
      </c>
      <c r="I3207" s="7">
        <f>$I$2959</f>
        <v>5.5393942527453444E-2</v>
      </c>
      <c r="J3207" s="7">
        <f>$J$2959</f>
        <v>0</v>
      </c>
      <c r="K3207" s="9"/>
      <c r="L3207" s="9"/>
      <c r="M3207" s="7">
        <f>$K$2959</f>
        <v>0.99480636434252911</v>
      </c>
      <c r="N3207" s="7">
        <f>$L$2959</f>
        <v>1.4783592120640805</v>
      </c>
      <c r="O3207" s="7">
        <f>$M$2959</f>
        <v>0.13057705614797832</v>
      </c>
      <c r="P3207" s="7">
        <f>$N$2959</f>
        <v>0.35900283594317944</v>
      </c>
      <c r="Q3207" s="7">
        <f>$O$2959</f>
        <v>0.31232996762477</v>
      </c>
      <c r="R3207" s="7">
        <f>$P$2959</f>
        <v>0.10855006058853794</v>
      </c>
      <c r="S3207" s="7">
        <f>$Q$2959</f>
        <v>1.5065970166130589</v>
      </c>
      <c r="T3207" s="7">
        <f>$R$2959</f>
        <v>0.58204590049312799</v>
      </c>
      <c r="U3207" s="7">
        <f>$S$2959</f>
        <v>0</v>
      </c>
      <c r="V3207" s="9"/>
      <c r="W3207" s="9"/>
      <c r="X3207" s="10"/>
    </row>
    <row r="3208" spans="1:24">
      <c r="A3208" s="11" t="s">
        <v>1646</v>
      </c>
      <c r="B3208" s="7">
        <f>$B$2960</f>
        <v>0</v>
      </c>
      <c r="C3208" s="7">
        <f>$C$2960</f>
        <v>2.8496854297957395</v>
      </c>
      <c r="D3208" s="7">
        <f>$D$2960</f>
        <v>0.25170035221073506</v>
      </c>
      <c r="E3208" s="7">
        <f>$E$2960</f>
        <v>0.67171311184053428</v>
      </c>
      <c r="F3208" s="7">
        <f>$F$2960</f>
        <v>0.14609643258326002</v>
      </c>
      <c r="G3208" s="7">
        <f>$G$2960</f>
        <v>5.2310278100596186E-2</v>
      </c>
      <c r="H3208" s="7">
        <f>$H$2960</f>
        <v>0.70473048469107036</v>
      </c>
      <c r="I3208" s="7">
        <f>$I$2960</f>
        <v>5.4451918468430283E-2</v>
      </c>
      <c r="J3208" s="7">
        <f>$J$2960</f>
        <v>0</v>
      </c>
      <c r="K3208" s="9"/>
      <c r="L3208" s="9"/>
      <c r="M3208" s="7">
        <f>$K$2960</f>
        <v>0.99743756110374526</v>
      </c>
      <c r="N3208" s="7">
        <f>$L$2960</f>
        <v>1.4971381765123295</v>
      </c>
      <c r="O3208" s="7">
        <f>$M$2960</f>
        <v>0.13223572061541597</v>
      </c>
      <c r="P3208" s="7">
        <f>$N$2960</f>
        <v>0.35289766824278679</v>
      </c>
      <c r="Q3208" s="7">
        <f>$O$2960</f>
        <v>0.30701851423416432</v>
      </c>
      <c r="R3208" s="7">
        <f>$P$2960</f>
        <v>0.10992892555722261</v>
      </c>
      <c r="S3208" s="7">
        <f>$Q$2960</f>
        <v>1.4809759726478522</v>
      </c>
      <c r="T3208" s="7">
        <f>$R$2960</f>
        <v>0.572147683888513</v>
      </c>
      <c r="U3208" s="7">
        <f>$S$2960</f>
        <v>0</v>
      </c>
      <c r="V3208" s="9"/>
      <c r="W3208" s="9"/>
      <c r="X3208" s="10"/>
    </row>
    <row r="3209" spans="1:24">
      <c r="A3209" s="11" t="s">
        <v>98</v>
      </c>
      <c r="B3209" s="7">
        <f>$B$2961</f>
        <v>0</v>
      </c>
      <c r="C3209" s="7">
        <f>$C$2961</f>
        <v>2.2922513159897684</v>
      </c>
      <c r="D3209" s="7">
        <f>$D$2961</f>
        <v>0.20246461506156527</v>
      </c>
      <c r="E3209" s="7">
        <f>$E$2961</f>
        <v>0.5530596069471404</v>
      </c>
      <c r="F3209" s="7">
        <f>$F$2961</f>
        <v>0.1202895018075205</v>
      </c>
      <c r="G3209" s="7">
        <f>$G$2961</f>
        <v>4.207773340950028E-2</v>
      </c>
      <c r="H3209" s="7">
        <f>$H$2961</f>
        <v>0.46419575023503817</v>
      </c>
      <c r="I3209" s="7">
        <f>$I$2961</f>
        <v>0</v>
      </c>
      <c r="J3209" s="7">
        <f>$J$2961</f>
        <v>0</v>
      </c>
      <c r="K3209" s="9"/>
      <c r="L3209" s="9"/>
      <c r="M3209" s="7">
        <f>$K$2961</f>
        <v>0.8268771019014548</v>
      </c>
      <c r="N3209" s="7">
        <f>$L$2961</f>
        <v>1.2042792230491548</v>
      </c>
      <c r="O3209" s="7">
        <f>$M$2961</f>
        <v>0.10636875966456044</v>
      </c>
      <c r="P3209" s="7">
        <f>$N$2961</f>
        <v>0.29056072041847009</v>
      </c>
      <c r="Q3209" s="7">
        <f>$O$2961</f>
        <v>0.25278580366338393</v>
      </c>
      <c r="R3209" s="7">
        <f>$P$2961</f>
        <v>8.8425452732144763E-2</v>
      </c>
      <c r="S3209" s="7">
        <f>$Q$2961</f>
        <v>0.97549739600763152</v>
      </c>
      <c r="T3209" s="7">
        <f>$R$2961</f>
        <v>0</v>
      </c>
      <c r="U3209" s="7">
        <f>$S$2961</f>
        <v>0</v>
      </c>
      <c r="V3209" s="9"/>
      <c r="W3209" s="9"/>
      <c r="X3209" s="10"/>
    </row>
    <row r="3210" spans="1:24">
      <c r="A3210" s="11" t="s">
        <v>99</v>
      </c>
      <c r="B3210" s="7">
        <f>$B$2962</f>
        <v>0</v>
      </c>
      <c r="C3210" s="7">
        <f>$C$2962</f>
        <v>2.0312103657879397</v>
      </c>
      <c r="D3210" s="7">
        <f>$D$2962</f>
        <v>0.17940800031376319</v>
      </c>
      <c r="E3210" s="7">
        <f>$E$2962</f>
        <v>0.49007733082904664</v>
      </c>
      <c r="F3210" s="7">
        <f>$F$2962</f>
        <v>0.1065909663842433</v>
      </c>
      <c r="G3210" s="7">
        <f>$G$2962</f>
        <v>3.7285932687242902E-2</v>
      </c>
      <c r="H3210" s="7">
        <f>$H$2962</f>
        <v>0</v>
      </c>
      <c r="I3210" s="7">
        <f>$I$2962</f>
        <v>0</v>
      </c>
      <c r="J3210" s="7">
        <f>$J$2962</f>
        <v>0</v>
      </c>
      <c r="K3210" s="9"/>
      <c r="L3210" s="9"/>
      <c r="M3210" s="7">
        <f>$K$2962</f>
        <v>0.73271256467343771</v>
      </c>
      <c r="N3210" s="7">
        <f>$L$2962</f>
        <v>1.0671362359341785</v>
      </c>
      <c r="O3210" s="7">
        <f>$M$2962</f>
        <v>9.4255514532607027E-2</v>
      </c>
      <c r="P3210" s="7">
        <f>$N$2962</f>
        <v>0.25747174539191858</v>
      </c>
      <c r="Q3210" s="7">
        <f>$O$2962</f>
        <v>0.22399862578043445</v>
      </c>
      <c r="R3210" s="7">
        <f>$P$2962</f>
        <v>7.8355586464772087E-2</v>
      </c>
      <c r="S3210" s="7">
        <f>$Q$2962</f>
        <v>0</v>
      </c>
      <c r="T3210" s="7">
        <f>$R$2962</f>
        <v>0</v>
      </c>
      <c r="U3210" s="7">
        <f>$S$2962</f>
        <v>0</v>
      </c>
      <c r="V3210" s="9"/>
      <c r="W3210" s="9"/>
      <c r="X3210" s="10"/>
    </row>
    <row r="3211" spans="1:24">
      <c r="A3211" s="11" t="s">
        <v>111</v>
      </c>
      <c r="B3211" s="7">
        <f>$B$2963</f>
        <v>0</v>
      </c>
      <c r="C3211" s="7">
        <f>$C$2963</f>
        <v>1.9422536446601895</v>
      </c>
      <c r="D3211" s="7">
        <f>$D$2963</f>
        <v>0.11680057125220508</v>
      </c>
      <c r="E3211" s="7">
        <f>$E$2963</f>
        <v>0.25524530499634496</v>
      </c>
      <c r="F3211" s="7">
        <f>$F$2963</f>
        <v>0</v>
      </c>
      <c r="G3211" s="7">
        <f>$G$2963</f>
        <v>0</v>
      </c>
      <c r="H3211" s="7">
        <f>$H$2963</f>
        <v>0</v>
      </c>
      <c r="I3211" s="7">
        <f>$I$2963</f>
        <v>0</v>
      </c>
      <c r="J3211" s="7">
        <f>$J$2963</f>
        <v>0</v>
      </c>
      <c r="K3211" s="9"/>
      <c r="L3211" s="9"/>
      <c r="M3211" s="7">
        <f>$K$2963</f>
        <v>0.74534411411292978</v>
      </c>
      <c r="N3211" s="7">
        <f>$L$2963</f>
        <v>1.0204010763740368</v>
      </c>
      <c r="O3211" s="7">
        <f>$M$2963</f>
        <v>9.5880426195332547E-2</v>
      </c>
      <c r="P3211" s="7">
        <f>$N$2963</f>
        <v>0.20952832991341361</v>
      </c>
      <c r="Q3211" s="7">
        <f>$O$2963</f>
        <v>0</v>
      </c>
      <c r="R3211" s="7">
        <f>$P$2963</f>
        <v>0</v>
      </c>
      <c r="S3211" s="7">
        <f>$Q$2963</f>
        <v>0</v>
      </c>
      <c r="T3211" s="7">
        <f>$R$2963</f>
        <v>0</v>
      </c>
      <c r="U3211" s="7">
        <f>$S$2963</f>
        <v>0</v>
      </c>
      <c r="V3211" s="9"/>
      <c r="W3211" s="9"/>
      <c r="X3211" s="10"/>
    </row>
    <row r="3212" spans="1:24">
      <c r="A3212" s="11" t="s">
        <v>131</v>
      </c>
      <c r="B3212" s="7">
        <f>$B$2818</f>
        <v>0</v>
      </c>
      <c r="C3212" s="7">
        <f>$C$2818</f>
        <v>0.24671232844708907</v>
      </c>
      <c r="D3212" s="7">
        <f>$D$2818</f>
        <v>2.1791029745102049E-2</v>
      </c>
      <c r="E3212" s="7">
        <f>$E$2818</f>
        <v>6.4601344106455294E-2</v>
      </c>
      <c r="F3212" s="7">
        <f>$F$2818</f>
        <v>1.4050679892455826E-2</v>
      </c>
      <c r="G3212" s="7">
        <f>$G$2818</f>
        <v>4.5287772386996081E-3</v>
      </c>
      <c r="H3212" s="7">
        <f>$H$2818</f>
        <v>6.7776757281231878E-2</v>
      </c>
      <c r="I3212" s="7">
        <f>$I$2818</f>
        <v>5.2368593976036782E-3</v>
      </c>
      <c r="J3212" s="7">
        <f>$J$2818</f>
        <v>1.0785555976079237E-2</v>
      </c>
      <c r="K3212" s="9"/>
      <c r="L3212" s="9"/>
      <c r="M3212" s="7">
        <f>$K$2818</f>
        <v>8.7645430298599156E-2</v>
      </c>
      <c r="N3212" s="7">
        <f>$L$2818</f>
        <v>0.1296151644221521</v>
      </c>
      <c r="O3212" s="7">
        <f>$M$2818</f>
        <v>1.1448345208841689E-2</v>
      </c>
      <c r="P3212" s="7">
        <f>$N$2818</f>
        <v>3.3939584174635211E-2</v>
      </c>
      <c r="Q3212" s="7">
        <f>$O$2818</f>
        <v>2.9527201919206342E-2</v>
      </c>
      <c r="R3212" s="7">
        <f>$P$2818</f>
        <v>9.5171280676594125E-3</v>
      </c>
      <c r="S3212" s="7">
        <f>$Q$2818</f>
        <v>0.14243139926250112</v>
      </c>
      <c r="T3212" s="7">
        <f>$R$2818</f>
        <v>5.5025737558280628E-2</v>
      </c>
      <c r="U3212" s="7">
        <f>$S$2818</f>
        <v>0.11332807079591478</v>
      </c>
      <c r="V3212" s="7">
        <f>$B$2617</f>
        <v>0.8410505145630508</v>
      </c>
      <c r="W3212" s="9"/>
      <c r="X3212" s="10"/>
    </row>
    <row r="3213" spans="1:24">
      <c r="A3213" s="11" t="s">
        <v>132</v>
      </c>
      <c r="B3213" s="7">
        <f>$B$2819</f>
        <v>0</v>
      </c>
      <c r="C3213" s="7">
        <f>$C$2819</f>
        <v>0.33999328727717509</v>
      </c>
      <c r="D3213" s="7">
        <f>$D$2819</f>
        <v>3.00301321900939E-2</v>
      </c>
      <c r="E3213" s="7">
        <f>$E$2819</f>
        <v>8.3659897615482939E-2</v>
      </c>
      <c r="F3213" s="7">
        <f>$F$2819</f>
        <v>1.8195882105699404E-2</v>
      </c>
      <c r="G3213" s="7">
        <f>$G$2819</f>
        <v>6.2410900599227633E-3</v>
      </c>
      <c r="H3213" s="7">
        <f>$H$2819</f>
        <v>8.7772114547856647E-2</v>
      </c>
      <c r="I3213" s="7">
        <f>$I$2819</f>
        <v>6.7818267110393588E-3</v>
      </c>
      <c r="J3213" s="7">
        <f>$J$2819</f>
        <v>1.3967488156251612E-2</v>
      </c>
      <c r="K3213" s="9"/>
      <c r="L3213" s="9"/>
      <c r="M3213" s="7">
        <f>$K$2819</f>
        <v>9.0712585194316048E-2</v>
      </c>
      <c r="N3213" s="7">
        <f>$L$2819</f>
        <v>0.17862214713890998</v>
      </c>
      <c r="O3213" s="7">
        <f>$M$2819</f>
        <v>1.5776919402196613E-2</v>
      </c>
      <c r="P3213" s="7">
        <f>$N$2819</f>
        <v>4.3952369357564525E-2</v>
      </c>
      <c r="Q3213" s="7">
        <f>$O$2819</f>
        <v>3.8238255311868273E-2</v>
      </c>
      <c r="R3213" s="7">
        <f>$P$2819</f>
        <v>1.3115516672914652E-2</v>
      </c>
      <c r="S3213" s="7">
        <f>$Q$2819</f>
        <v>0.18445121296385122</v>
      </c>
      <c r="T3213" s="7">
        <f>$R$2819</f>
        <v>7.1259315638328824E-2</v>
      </c>
      <c r="U3213" s="7">
        <f>$S$2819</f>
        <v>0.14676188136461765</v>
      </c>
      <c r="V3213" s="7">
        <f>$B$2618</f>
        <v>0.8410505145630508</v>
      </c>
      <c r="W3213" s="9"/>
      <c r="X3213" s="10"/>
    </row>
    <row r="3214" spans="1:24">
      <c r="A3214" s="11" t="s">
        <v>133</v>
      </c>
      <c r="B3214" s="7">
        <f>$B$2820</f>
        <v>0</v>
      </c>
      <c r="C3214" s="7">
        <f>$C$2820</f>
        <v>0.56275020321613267</v>
      </c>
      <c r="D3214" s="7">
        <f>$D$2820</f>
        <v>4.9705284265820243E-2</v>
      </c>
      <c r="E3214" s="7">
        <f>$E$2820</f>
        <v>0.13979657675924545</v>
      </c>
      <c r="F3214" s="7">
        <f>$F$2820</f>
        <v>3.0405512103098969E-2</v>
      </c>
      <c r="G3214" s="7">
        <f>$G$2820</f>
        <v>1.0330129537670743E-2</v>
      </c>
      <c r="H3214" s="7">
        <f>$H$2820</f>
        <v>0.14666813489429698</v>
      </c>
      <c r="I3214" s="7">
        <f>$I$2820</f>
        <v>1.1332504406534848E-2</v>
      </c>
      <c r="J3214" s="7">
        <f>$J$2820</f>
        <v>2.3339820939583734E-2</v>
      </c>
      <c r="K3214" s="9"/>
      <c r="L3214" s="9"/>
      <c r="M3214" s="7">
        <f>$K$2820</f>
        <v>0.1559732047970023</v>
      </c>
      <c r="N3214" s="7">
        <f>$L$2820</f>
        <v>0.29565186538337807</v>
      </c>
      <c r="O3214" s="7">
        <f>$M$2820</f>
        <v>2.6113646745244818E-2</v>
      </c>
      <c r="P3214" s="7">
        <f>$N$2820</f>
        <v>7.3444875642644028E-2</v>
      </c>
      <c r="Q3214" s="7">
        <f>$O$2820</f>
        <v>6.3896530431037865E-2</v>
      </c>
      <c r="R3214" s="7">
        <f>$P$2820</f>
        <v>2.1708545283572703E-2</v>
      </c>
      <c r="S3214" s="7">
        <f>$Q$2820</f>
        <v>0.30821993435794987</v>
      </c>
      <c r="T3214" s="7">
        <f>$R$2820</f>
        <v>0.11907507267378369</v>
      </c>
      <c r="U3214" s="7">
        <f>$S$2820</f>
        <v>0.2452406612761979</v>
      </c>
      <c r="V3214" s="7">
        <f>$B$2619</f>
        <v>0.8410505145630508</v>
      </c>
      <c r="W3214" s="9"/>
      <c r="X3214" s="10"/>
    </row>
    <row r="3215" spans="1:24">
      <c r="A3215" s="11" t="s">
        <v>134</v>
      </c>
      <c r="B3215" s="7">
        <f>$B$2821</f>
        <v>0</v>
      </c>
      <c r="C3215" s="7">
        <f>$C$2821</f>
        <v>0.16511629293072297</v>
      </c>
      <c r="D3215" s="7">
        <f>$D$2821</f>
        <v>1.4584005887756114E-2</v>
      </c>
      <c r="E3215" s="7">
        <f>$E$2821</f>
        <v>4.8011884981066788E-2</v>
      </c>
      <c r="F3215" s="7">
        <f>$F$2821</f>
        <v>1.0442501409734099E-2</v>
      </c>
      <c r="G3215" s="7">
        <f>$G$2821</f>
        <v>3.0309588250815194E-3</v>
      </c>
      <c r="H3215" s="7">
        <f>$H$2821</f>
        <v>5.0371860214144075E-2</v>
      </c>
      <c r="I3215" s="7">
        <f>$I$2821</f>
        <v>3.8920473642999991E-3</v>
      </c>
      <c r="J3215" s="7">
        <f>$J$2821</f>
        <v>8.0158529229212919E-3</v>
      </c>
      <c r="K3215" s="9"/>
      <c r="L3215" s="9"/>
      <c r="M3215" s="7">
        <f>$K$2821</f>
        <v>8.5408044675781489E-2</v>
      </c>
      <c r="N3215" s="7">
        <f>$L$2821</f>
        <v>8.6747085529541135E-2</v>
      </c>
      <c r="O3215" s="7">
        <f>$M$2821</f>
        <v>7.661993759993822E-3</v>
      </c>
      <c r="P3215" s="7">
        <f>$N$2821</f>
        <v>2.5223986191565819E-2</v>
      </c>
      <c r="Q3215" s="7">
        <f>$O$2821</f>
        <v>2.1944692358436706E-2</v>
      </c>
      <c r="R3215" s="7">
        <f>$P$2821</f>
        <v>6.3694948516359725E-3</v>
      </c>
      <c r="S3215" s="7">
        <f>$Q$2821</f>
        <v>0.1058553820151906</v>
      </c>
      <c r="T3215" s="7">
        <f>$R$2821</f>
        <v>4.0895269582828159E-2</v>
      </c>
      <c r="U3215" s="7">
        <f>$S$2821</f>
        <v>8.4225713496198812E-2</v>
      </c>
      <c r="V3215" s="7">
        <f>$B$2620</f>
        <v>0.8410505145630508</v>
      </c>
      <c r="W3215" s="9"/>
      <c r="X3215" s="10"/>
    </row>
    <row r="3216" spans="1:24">
      <c r="A3216" s="11" t="s">
        <v>135</v>
      </c>
      <c r="B3216" s="7">
        <f>$B$2822</f>
        <v>0</v>
      </c>
      <c r="C3216" s="7">
        <f>$C$2822</f>
        <v>6.3871006675533044</v>
      </c>
      <c r="D3216" s="7">
        <f>$D$2822</f>
        <v>0.56414489501875331</v>
      </c>
      <c r="E3216" s="7">
        <f>$E$2822</f>
        <v>1.5581232276408183</v>
      </c>
      <c r="F3216" s="7">
        <f>$F$2822</f>
        <v>0.33888908980755394</v>
      </c>
      <c r="G3216" s="7">
        <f>$G$2822</f>
        <v>0.11724487505982911</v>
      </c>
      <c r="H3216" s="7">
        <f>$H$2822</f>
        <v>1.6347111855759182</v>
      </c>
      <c r="I3216" s="7">
        <f>$I$2822</f>
        <v>0.1263080881699494</v>
      </c>
      <c r="J3216" s="7">
        <f>$J$2822</f>
        <v>0.26013739376159567</v>
      </c>
      <c r="K3216" s="9"/>
      <c r="L3216" s="9"/>
      <c r="M3216" s="7">
        <f>$K$2822</f>
        <v>1.5926087698140343</v>
      </c>
      <c r="N3216" s="7">
        <f>$L$2822</f>
        <v>3.3555887069636503</v>
      </c>
      <c r="O3216" s="7">
        <f>$M$2822</f>
        <v>0.29638459409804241</v>
      </c>
      <c r="P3216" s="7">
        <f>$N$2822</f>
        <v>0.81859062176518427</v>
      </c>
      <c r="Q3216" s="7">
        <f>$O$2822</f>
        <v>0.71216814129659423</v>
      </c>
      <c r="R3216" s="7">
        <f>$P$2822</f>
        <v>0.24638758596603463</v>
      </c>
      <c r="S3216" s="7">
        <f>$Q$2822</f>
        <v>3.435310435191246</v>
      </c>
      <c r="T3216" s="7">
        <f>$R$2822</f>
        <v>1.3271686679822123</v>
      </c>
      <c r="U3216" s="7">
        <f>$S$2822</f>
        <v>2.733365720067011</v>
      </c>
      <c r="V3216" s="7">
        <f>$B$2621</f>
        <v>0.8410505145630508</v>
      </c>
      <c r="W3216" s="9"/>
      <c r="X3216" s="10"/>
    </row>
    <row r="3217" spans="1:24">
      <c r="A3217" s="11" t="s">
        <v>1645</v>
      </c>
      <c r="B3217" s="7">
        <f>$B$2785</f>
        <v>0</v>
      </c>
      <c r="C3217" s="7">
        <f>$C$2785</f>
        <v>-0.23581411526422724</v>
      </c>
      <c r="D3217" s="7">
        <f>$D$2785</f>
        <v>-2.0828437850602798E-2</v>
      </c>
      <c r="E3217" s="7">
        <f>$E$2785</f>
        <v>-6.180561831513029E-2</v>
      </c>
      <c r="F3217" s="7">
        <f>$F$2785</f>
        <v>-1.3442614399325242E-2</v>
      </c>
      <c r="G3217" s="7">
        <f>$G$2785</f>
        <v>-4.3287240832058987E-3</v>
      </c>
      <c r="H3217" s="7">
        <f>$H$2785</f>
        <v>-6.4843610440335431E-2</v>
      </c>
      <c r="I3217" s="7">
        <f>$I$2785</f>
        <v>-5.0102259879443228E-3</v>
      </c>
      <c r="J3217" s="7">
        <f>$J$2785</f>
        <v>0</v>
      </c>
      <c r="K3217" s="9"/>
      <c r="L3217" s="9"/>
      <c r="M3217" s="7">
        <f>$K$2785</f>
        <v>-8.4111881472839475E-2</v>
      </c>
      <c r="N3217" s="7">
        <f>$L$2785</f>
        <v>-0.1238895742074448</v>
      </c>
      <c r="O3217" s="7">
        <f>$M$2785</f>
        <v>-1.0942628662521183E-2</v>
      </c>
      <c r="P3217" s="7">
        <f>$N$2785</f>
        <v>-3.2470794753357644E-2</v>
      </c>
      <c r="Q3217" s="7">
        <f>$O$2785</f>
        <v>-2.8249365349503491E-2</v>
      </c>
      <c r="R3217" s="7">
        <f>$P$2785</f>
        <v>-9.0967206594735079E-3</v>
      </c>
      <c r="S3217" s="7">
        <f>$Q$2785</f>
        <v>-0.13626745419416791</v>
      </c>
      <c r="T3217" s="7">
        <f>$R$2785</f>
        <v>-5.2644411352050891E-2</v>
      </c>
      <c r="U3217" s="7">
        <f>$S$2785</f>
        <v>0</v>
      </c>
      <c r="V3217" s="9"/>
      <c r="W3217" s="9"/>
      <c r="X3217" s="10"/>
    </row>
    <row r="3218" spans="1:24">
      <c r="A3218" s="11" t="s">
        <v>100</v>
      </c>
      <c r="B3218" s="7">
        <f>$B$2786</f>
        <v>0</v>
      </c>
      <c r="C3218" s="7">
        <f>$C$2786</f>
        <v>-0.23124997109782289</v>
      </c>
      <c r="D3218" s="7">
        <f>$D$2786</f>
        <v>-2.0425306795429844E-2</v>
      </c>
      <c r="E3218" s="7">
        <f>$E$2786</f>
        <v>-6.0609380541289053E-2</v>
      </c>
      <c r="F3218" s="7">
        <f>$F$2786</f>
        <v>-1.3182434765789919E-2</v>
      </c>
      <c r="G3218" s="7">
        <f>$G$2786</f>
        <v>-4.2449423267567525E-3</v>
      </c>
      <c r="H3218" s="7">
        <f>$H$2786</f>
        <v>-6.3588572818909575E-2</v>
      </c>
      <c r="I3218" s="7">
        <f>$I$2786</f>
        <v>0</v>
      </c>
      <c r="J3218" s="7">
        <f>$J$2786</f>
        <v>0</v>
      </c>
      <c r="K3218" s="9"/>
      <c r="L3218" s="9"/>
      <c r="M3218" s="7">
        <f>$K$2786</f>
        <v>-8.2483909573365169E-2</v>
      </c>
      <c r="N3218" s="7">
        <f>$L$2786</f>
        <v>-0.12149171148084911</v>
      </c>
      <c r="O3218" s="7">
        <f>$M$2786</f>
        <v>-1.0730835849698195E-2</v>
      </c>
      <c r="P3218" s="7">
        <f>$N$2786</f>
        <v>-3.184232775813136E-2</v>
      </c>
      <c r="Q3218" s="7">
        <f>$O$2786</f>
        <v>-2.7702603439513116E-2</v>
      </c>
      <c r="R3218" s="7">
        <f>$P$2786</f>
        <v>-8.9206550983224088E-3</v>
      </c>
      <c r="S3218" s="7">
        <f>$Q$2786</f>
        <v>-0.13363001959686144</v>
      </c>
      <c r="T3218" s="7">
        <f>$R$2786</f>
        <v>0</v>
      </c>
      <c r="U3218" s="7">
        <f>$S$2786</f>
        <v>0</v>
      </c>
      <c r="V3218" s="9"/>
      <c r="W3218" s="9"/>
      <c r="X3218" s="10"/>
    </row>
    <row r="3219" spans="1:24">
      <c r="A3219" s="11" t="s">
        <v>101</v>
      </c>
      <c r="B3219" s="7">
        <f>$B$2787</f>
        <v>0</v>
      </c>
      <c r="C3219" s="7">
        <f>$C$2787</f>
        <v>-0.23581411526422724</v>
      </c>
      <c r="D3219" s="7">
        <f>$D$2787</f>
        <v>-2.0828437850602798E-2</v>
      </c>
      <c r="E3219" s="7">
        <f>$E$2787</f>
        <v>-6.180561831513029E-2</v>
      </c>
      <c r="F3219" s="7">
        <f>$F$2787</f>
        <v>-1.3442614399325242E-2</v>
      </c>
      <c r="G3219" s="7">
        <f>$G$2787</f>
        <v>-4.3287240832058987E-3</v>
      </c>
      <c r="H3219" s="7">
        <f>$H$2787</f>
        <v>-6.4843610440335431E-2</v>
      </c>
      <c r="I3219" s="7">
        <f>$I$2787</f>
        <v>-5.0102259879443228E-3</v>
      </c>
      <c r="J3219" s="7">
        <f>$J$2787</f>
        <v>0</v>
      </c>
      <c r="K3219" s="9"/>
      <c r="L3219" s="9"/>
      <c r="M3219" s="7">
        <f>$K$2787</f>
        <v>-8.4111881472839475E-2</v>
      </c>
      <c r="N3219" s="7">
        <f>$L$2787</f>
        <v>-0.1238895742074448</v>
      </c>
      <c r="O3219" s="7">
        <f>$M$2787</f>
        <v>-1.0942628662521183E-2</v>
      </c>
      <c r="P3219" s="7">
        <f>$N$2787</f>
        <v>-3.2470794753357644E-2</v>
      </c>
      <c r="Q3219" s="7">
        <f>$O$2787</f>
        <v>-2.8249365349503491E-2</v>
      </c>
      <c r="R3219" s="7">
        <f>$P$2787</f>
        <v>-9.0967206594735079E-3</v>
      </c>
      <c r="S3219" s="7">
        <f>$Q$2787</f>
        <v>-0.13626745419416791</v>
      </c>
      <c r="T3219" s="7">
        <f>$R$2787</f>
        <v>-5.2644411352050891E-2</v>
      </c>
      <c r="U3219" s="7">
        <f>$S$2787</f>
        <v>0</v>
      </c>
      <c r="V3219" s="9"/>
      <c r="W3219" s="9"/>
      <c r="X3219" s="10"/>
    </row>
    <row r="3220" spans="1:24">
      <c r="A3220" s="11" t="s">
        <v>102</v>
      </c>
      <c r="B3220" s="7">
        <f>$B$2823</f>
        <v>0</v>
      </c>
      <c r="C3220" s="7">
        <f>$C$2823</f>
        <v>-1.9662380275053593</v>
      </c>
      <c r="D3220" s="7">
        <f>$D$2823</f>
        <v>-0.17366927552025058</v>
      </c>
      <c r="E3220" s="7">
        <f>$E$2823</f>
        <v>-0.47440122427722886</v>
      </c>
      <c r="F3220" s="7">
        <f>$F$2823</f>
        <v>-0.10318144049641252</v>
      </c>
      <c r="G3220" s="7">
        <f>$G$2823</f>
        <v>-3.6093267332368492E-2</v>
      </c>
      <c r="H3220" s="7">
        <f>$H$2823</f>
        <v>-0.49771993255700792</v>
      </c>
      <c r="I3220" s="7">
        <f>$I$2823</f>
        <v>-3.8456978627208545E-2</v>
      </c>
      <c r="J3220" s="7">
        <f>$J$2823</f>
        <v>0</v>
      </c>
      <c r="K3220" s="9"/>
      <c r="L3220" s="9"/>
      <c r="M3220" s="7">
        <f>$K$2823</f>
        <v>-0.70927528342591295</v>
      </c>
      <c r="N3220" s="7">
        <f>$L$2823</f>
        <v>-1.0330017426869376</v>
      </c>
      <c r="O3220" s="7">
        <f>$M$2823</f>
        <v>-9.124056281792553E-2</v>
      </c>
      <c r="P3220" s="7">
        <f>$N$2823</f>
        <v>-0.24923599511140998</v>
      </c>
      <c r="Q3220" s="7">
        <f>$O$2823</f>
        <v>-0.21683358037983466</v>
      </c>
      <c r="R3220" s="7">
        <f>$P$2823</f>
        <v>-7.5849225845573368E-2</v>
      </c>
      <c r="S3220" s="7">
        <f>$Q$2823</f>
        <v>-1.0459477448998997</v>
      </c>
      <c r="T3220" s="7">
        <f>$R$2823</f>
        <v>-0.40408257174013429</v>
      </c>
      <c r="U3220" s="7">
        <f>$S$2823</f>
        <v>0</v>
      </c>
      <c r="V3220" s="9"/>
      <c r="W3220" s="9"/>
      <c r="X3220" s="10"/>
    </row>
    <row r="3221" spans="1:24">
      <c r="A3221" s="11" t="s">
        <v>103</v>
      </c>
      <c r="B3221" s="7">
        <f>$B$2789</f>
        <v>0</v>
      </c>
      <c r="C3221" s="7">
        <f>$C$2789</f>
        <v>-0.23124997109782289</v>
      </c>
      <c r="D3221" s="7">
        <f>$D$2789</f>
        <v>-2.0425306795429844E-2</v>
      </c>
      <c r="E3221" s="7">
        <f>$E$2789</f>
        <v>-6.0609380541289053E-2</v>
      </c>
      <c r="F3221" s="7">
        <f>$F$2789</f>
        <v>-1.3182434765789919E-2</v>
      </c>
      <c r="G3221" s="7">
        <f>$G$2789</f>
        <v>-4.2449423267567525E-3</v>
      </c>
      <c r="H3221" s="7">
        <f>$H$2789</f>
        <v>-6.3588572818909575E-2</v>
      </c>
      <c r="I3221" s="7">
        <f>$I$2789</f>
        <v>0</v>
      </c>
      <c r="J3221" s="7">
        <f>$J$2789</f>
        <v>0</v>
      </c>
      <c r="K3221" s="9"/>
      <c r="L3221" s="9"/>
      <c r="M3221" s="7">
        <f>$K$2789</f>
        <v>-8.2483909573365169E-2</v>
      </c>
      <c r="N3221" s="7">
        <f>$L$2789</f>
        <v>-0.12149171148084911</v>
      </c>
      <c r="O3221" s="7">
        <f>$M$2789</f>
        <v>-1.0730835849698195E-2</v>
      </c>
      <c r="P3221" s="7">
        <f>$N$2789</f>
        <v>-3.184232775813136E-2</v>
      </c>
      <c r="Q3221" s="7">
        <f>$O$2789</f>
        <v>-2.7702603439513116E-2</v>
      </c>
      <c r="R3221" s="7">
        <f>$P$2789</f>
        <v>-8.9206550983224088E-3</v>
      </c>
      <c r="S3221" s="7">
        <f>$Q$2789</f>
        <v>-0.13363001959686144</v>
      </c>
      <c r="T3221" s="7">
        <f>$R$2789</f>
        <v>0</v>
      </c>
      <c r="U3221" s="7">
        <f>$S$2789</f>
        <v>0</v>
      </c>
      <c r="V3221" s="9"/>
      <c r="W3221" s="9"/>
      <c r="X3221" s="10"/>
    </row>
    <row r="3222" spans="1:24">
      <c r="A3222" s="11" t="s">
        <v>104</v>
      </c>
      <c r="B3222" s="7">
        <f>$B$2824</f>
        <v>0</v>
      </c>
      <c r="C3222" s="7">
        <f>$C$2824</f>
        <v>-1.9281818076181594</v>
      </c>
      <c r="D3222" s="7">
        <f>$D$2824</f>
        <v>-0.17030793470372965</v>
      </c>
      <c r="E3222" s="7">
        <f>$E$2824</f>
        <v>-0.46521926509766953</v>
      </c>
      <c r="F3222" s="7">
        <f>$F$2824</f>
        <v>-0.1011843803577723</v>
      </c>
      <c r="G3222" s="7">
        <f>$G$2824</f>
        <v>-3.5394687964645233E-2</v>
      </c>
      <c r="H3222" s="7">
        <f>$H$2824</f>
        <v>-0.48808664353977554</v>
      </c>
      <c r="I3222" s="7">
        <f>$I$2824</f>
        <v>0</v>
      </c>
      <c r="J3222" s="7">
        <f>$J$2824</f>
        <v>0</v>
      </c>
      <c r="K3222" s="9"/>
      <c r="L3222" s="9"/>
      <c r="M3222" s="7">
        <f>$K$2824</f>
        <v>-0.69554737471444372</v>
      </c>
      <c r="N3222" s="7">
        <f>$L$2824</f>
        <v>-1.0130081605704164</v>
      </c>
      <c r="O3222" s="7">
        <f>$M$2824</f>
        <v>-8.9474616440804414E-2</v>
      </c>
      <c r="P3222" s="7">
        <f>$N$2824</f>
        <v>-0.2444120726253827</v>
      </c>
      <c r="Q3222" s="7">
        <f>$O$2824</f>
        <v>-0.21263680140474112</v>
      </c>
      <c r="R3222" s="7">
        <f>$P$2824</f>
        <v>-7.4381176313078418E-2</v>
      </c>
      <c r="S3222" s="7">
        <f>$Q$2824</f>
        <v>-1.0257035949986111</v>
      </c>
      <c r="T3222" s="7">
        <f>$R$2824</f>
        <v>0</v>
      </c>
      <c r="U3222" s="7">
        <f>$S$2824</f>
        <v>0</v>
      </c>
      <c r="V3222" s="9"/>
      <c r="W3222" s="9"/>
      <c r="X3222" s="10"/>
    </row>
    <row r="3223" spans="1:24">
      <c r="A3223" s="11" t="s">
        <v>112</v>
      </c>
      <c r="B3223" s="7">
        <f>$B$2791</f>
        <v>0</v>
      </c>
      <c r="C3223" s="7">
        <f>$C$2791</f>
        <v>-0.22688143310997869</v>
      </c>
      <c r="D3223" s="7">
        <f>$D$2791</f>
        <v>-1.2825249782706293E-2</v>
      </c>
      <c r="E3223" s="7">
        <f>$E$2791</f>
        <v>-3.8057222464391964E-2</v>
      </c>
      <c r="F3223" s="7">
        <f>$F$2791</f>
        <v>-4.6560260476719104E-3</v>
      </c>
      <c r="G3223" s="7">
        <f>$G$2791</f>
        <v>-1.4993104381245247E-3</v>
      </c>
      <c r="H3223" s="7">
        <f>$H$2791</f>
        <v>0</v>
      </c>
      <c r="I3223" s="7">
        <f>$I$2791</f>
        <v>0</v>
      </c>
      <c r="J3223" s="7">
        <f>$J$2791</f>
        <v>0</v>
      </c>
      <c r="K3223" s="9"/>
      <c r="L3223" s="9"/>
      <c r="M3223" s="7">
        <f>$K$2791</f>
        <v>-8.0925707898154051E-2</v>
      </c>
      <c r="N3223" s="7">
        <f>$L$2791</f>
        <v>-0.11919661429967894</v>
      </c>
      <c r="O3223" s="7">
        <f>$M$2791</f>
        <v>-1.0528119871710474E-2</v>
      </c>
      <c r="P3223" s="7">
        <f>$N$2791</f>
        <v>-3.1240795062700496E-2</v>
      </c>
      <c r="Q3223" s="7">
        <f>$O$2791</f>
        <v>-2.7179274182808022E-2</v>
      </c>
      <c r="R3223" s="7">
        <f>$P$2791</f>
        <v>-8.7521352040777836E-3</v>
      </c>
      <c r="S3223" s="7">
        <f>$Q$2791</f>
        <v>0</v>
      </c>
      <c r="T3223" s="7">
        <f>$R$2791</f>
        <v>0</v>
      </c>
      <c r="U3223" s="7">
        <f>$S$2791</f>
        <v>0</v>
      </c>
      <c r="V3223" s="9"/>
      <c r="W3223" s="9"/>
      <c r="X3223" s="10"/>
    </row>
    <row r="3224" spans="1:24">
      <c r="A3224" s="11" t="s">
        <v>113</v>
      </c>
      <c r="B3224" s="7">
        <f>$B$2825</f>
        <v>0</v>
      </c>
      <c r="C3224" s="7">
        <f>$C$2825</f>
        <v>-1.8917565685832674</v>
      </c>
      <c r="D3224" s="7">
        <f>$D$2825</f>
        <v>-0.10693801686449525</v>
      </c>
      <c r="E3224" s="7">
        <f>$E$2825</f>
        <v>-0.29211572381080136</v>
      </c>
      <c r="F3224" s="7">
        <f>$F$2825</f>
        <v>-3.5738247063883698E-2</v>
      </c>
      <c r="G3224" s="7">
        <f>$G$2825</f>
        <v>-1.2501377176565354E-2</v>
      </c>
      <c r="H3224" s="7">
        <f>$H$2825</f>
        <v>0</v>
      </c>
      <c r="I3224" s="7">
        <f>$I$2825</f>
        <v>0</v>
      </c>
      <c r="J3224" s="7">
        <f>$J$2825</f>
        <v>0</v>
      </c>
      <c r="K3224" s="9"/>
      <c r="L3224" s="9"/>
      <c r="M3224" s="7">
        <f>$K$2825</f>
        <v>-0.68240780494775166</v>
      </c>
      <c r="N3224" s="7">
        <f>$L$2825</f>
        <v>-0.99387144625888879</v>
      </c>
      <c r="O3224" s="7">
        <f>$M$2825</f>
        <v>-8.7784353479845617E-2</v>
      </c>
      <c r="P3224" s="7">
        <f>$N$2825</f>
        <v>-0.23979488967447088</v>
      </c>
      <c r="Q3224" s="7">
        <f>$O$2825</f>
        <v>-0.20861988438572299</v>
      </c>
      <c r="R3224" s="7">
        <f>$P$2825</f>
        <v>-7.2976043189118947E-2</v>
      </c>
      <c r="S3224" s="7">
        <f>$Q$2825</f>
        <v>0</v>
      </c>
      <c r="T3224" s="7">
        <f>$R$2825</f>
        <v>0</v>
      </c>
      <c r="U3224" s="7">
        <f>$S$2825</f>
        <v>0</v>
      </c>
      <c r="V3224" s="9"/>
      <c r="W3224" s="9"/>
      <c r="X3224" s="10"/>
    </row>
    <row r="3226" spans="1:24" ht="21" customHeight="1">
      <c r="A3226" s="1" t="s">
        <v>763</v>
      </c>
    </row>
    <row r="3227" spans="1:24">
      <c r="A3227" s="2" t="s">
        <v>255</v>
      </c>
    </row>
    <row r="3228" spans="1:24">
      <c r="A3228" s="12" t="s">
        <v>1604</v>
      </c>
    </row>
    <row r="3229" spans="1:24">
      <c r="A3229" s="12" t="s">
        <v>1603</v>
      </c>
    </row>
    <row r="3230" spans="1:24">
      <c r="A3230" s="12" t="s">
        <v>1602</v>
      </c>
    </row>
    <row r="3231" spans="1:24">
      <c r="A3231" s="12" t="s">
        <v>764</v>
      </c>
    </row>
    <row r="3232" spans="1:24">
      <c r="A3232" s="12" t="s">
        <v>765</v>
      </c>
    </row>
    <row r="3233" spans="1:24">
      <c r="A3233" s="2" t="s">
        <v>341</v>
      </c>
    </row>
    <row r="3235" spans="1:24" ht="30">
      <c r="B3235" s="3" t="s">
        <v>60</v>
      </c>
      <c r="C3235" s="3" t="s">
        <v>220</v>
      </c>
      <c r="D3235" s="3" t="s">
        <v>221</v>
      </c>
      <c r="E3235" s="3" t="s">
        <v>222</v>
      </c>
      <c r="F3235" s="3" t="s">
        <v>223</v>
      </c>
      <c r="G3235" s="3" t="s">
        <v>224</v>
      </c>
      <c r="H3235" s="3" t="s">
        <v>225</v>
      </c>
      <c r="I3235" s="3" t="s">
        <v>226</v>
      </c>
      <c r="J3235" s="3" t="s">
        <v>227</v>
      </c>
      <c r="K3235" s="3" t="s">
        <v>364</v>
      </c>
      <c r="L3235" s="3" t="s">
        <v>376</v>
      </c>
      <c r="M3235" s="3" t="s">
        <v>208</v>
      </c>
      <c r="N3235" s="3" t="s">
        <v>624</v>
      </c>
      <c r="O3235" s="3" t="s">
        <v>625</v>
      </c>
      <c r="P3235" s="3" t="s">
        <v>626</v>
      </c>
      <c r="Q3235" s="3" t="s">
        <v>627</v>
      </c>
      <c r="R3235" s="3" t="s">
        <v>628</v>
      </c>
      <c r="S3235" s="3" t="s">
        <v>629</v>
      </c>
      <c r="T3235" s="3" t="s">
        <v>630</v>
      </c>
      <c r="U3235" s="3" t="s">
        <v>631</v>
      </c>
      <c r="V3235" s="3" t="s">
        <v>632</v>
      </c>
      <c r="W3235" s="3" t="s">
        <v>633</v>
      </c>
    </row>
    <row r="3236" spans="1:24">
      <c r="A3236" s="11" t="s">
        <v>92</v>
      </c>
      <c r="B3236" s="9"/>
      <c r="C3236" s="9"/>
      <c r="D3236" s="9"/>
      <c r="E3236" s="9"/>
      <c r="F3236" s="9"/>
      <c r="G3236" s="9"/>
      <c r="H3236" s="9"/>
      <c r="I3236" s="9"/>
      <c r="J3236" s="9"/>
      <c r="K3236" s="9"/>
      <c r="L3236" s="9"/>
      <c r="M3236" s="9"/>
      <c r="N3236" s="9"/>
      <c r="O3236" s="9"/>
      <c r="P3236" s="9"/>
      <c r="Q3236" s="9"/>
      <c r="R3236" s="9"/>
      <c r="S3236" s="9"/>
      <c r="T3236" s="9"/>
      <c r="U3236" s="9"/>
      <c r="V3236" s="9"/>
      <c r="W3236" s="9"/>
      <c r="X3236" s="10"/>
    </row>
    <row r="3237" spans="1:24">
      <c r="A3237" s="11" t="s">
        <v>93</v>
      </c>
      <c r="B3237" s="7">
        <f>$B$2977</f>
        <v>0</v>
      </c>
      <c r="C3237" s="7">
        <f>$C$2977</f>
        <v>5.371480755747457E-2</v>
      </c>
      <c r="D3237" s="7">
        <f>$D$2977</f>
        <v>4.7443959392097865E-3</v>
      </c>
      <c r="E3237" s="7">
        <f>$E$2977</f>
        <v>1.1375076722015086E-2</v>
      </c>
      <c r="F3237" s="7">
        <f>$F$2977</f>
        <v>2.4740593865939233E-3</v>
      </c>
      <c r="G3237" s="7">
        <f>$G$2977</f>
        <v>9.8601638344794564E-4</v>
      </c>
      <c r="H3237" s="7">
        <f>$H$2977</f>
        <v>1.1934207015460047E-2</v>
      </c>
      <c r="I3237" s="7">
        <f>$I$2977</f>
        <v>9.2211204355104211E-4</v>
      </c>
      <c r="J3237" s="7">
        <f>$J$2977</f>
        <v>0</v>
      </c>
      <c r="K3237" s="9"/>
      <c r="L3237" s="9"/>
      <c r="M3237" s="7">
        <f>$K$2977</f>
        <v>4.7010548778710541E-3</v>
      </c>
      <c r="N3237" s="7">
        <f>$L$2977</f>
        <v>2.8220128508735936E-2</v>
      </c>
      <c r="O3237" s="7">
        <f>$M$2977</f>
        <v>2.4925615335690482E-3</v>
      </c>
      <c r="P3237" s="7">
        <f>$N$2977</f>
        <v>5.9761198352711519E-3</v>
      </c>
      <c r="Q3237" s="7">
        <f>$O$2977</f>
        <v>5.1991826464774906E-3</v>
      </c>
      <c r="R3237" s="7">
        <f>$P$2977</f>
        <v>2.0720922455393278E-3</v>
      </c>
      <c r="S3237" s="7">
        <f>$Q$2977</f>
        <v>2.5079479640006723E-2</v>
      </c>
      <c r="T3237" s="7">
        <f>$R$2977</f>
        <v>9.6889932410611241E-3</v>
      </c>
      <c r="U3237" s="7">
        <f>$S$2977</f>
        <v>0</v>
      </c>
      <c r="V3237" s="9"/>
      <c r="W3237" s="9"/>
      <c r="X3237" s="10"/>
    </row>
    <row r="3238" spans="1:24">
      <c r="A3238" s="11" t="s">
        <v>129</v>
      </c>
      <c r="B3238" s="9"/>
      <c r="C3238" s="9"/>
      <c r="D3238" s="9"/>
      <c r="E3238" s="9"/>
      <c r="F3238" s="9"/>
      <c r="G3238" s="9"/>
      <c r="H3238" s="9"/>
      <c r="I3238" s="9"/>
      <c r="J3238" s="9"/>
      <c r="K3238" s="9"/>
      <c r="L3238" s="9"/>
      <c r="M3238" s="9"/>
      <c r="N3238" s="9"/>
      <c r="O3238" s="9"/>
      <c r="P3238" s="9"/>
      <c r="Q3238" s="9"/>
      <c r="R3238" s="9"/>
      <c r="S3238" s="9"/>
      <c r="T3238" s="9"/>
      <c r="U3238" s="9"/>
      <c r="V3238" s="9"/>
      <c r="W3238" s="9"/>
      <c r="X3238" s="10"/>
    </row>
    <row r="3239" spans="1:24">
      <c r="A3239" s="11" t="s">
        <v>94</v>
      </c>
      <c r="B3239" s="9"/>
      <c r="C3239" s="9"/>
      <c r="D3239" s="9"/>
      <c r="E3239" s="9"/>
      <c r="F3239" s="9"/>
      <c r="G3239" s="9"/>
      <c r="H3239" s="9"/>
      <c r="I3239" s="9"/>
      <c r="J3239" s="9"/>
      <c r="K3239" s="9"/>
      <c r="L3239" s="9"/>
      <c r="M3239" s="9"/>
      <c r="N3239" s="9"/>
      <c r="O3239" s="9"/>
      <c r="P3239" s="9"/>
      <c r="Q3239" s="9"/>
      <c r="R3239" s="9"/>
      <c r="S3239" s="9"/>
      <c r="T3239" s="9"/>
      <c r="U3239" s="9"/>
      <c r="V3239" s="9"/>
      <c r="W3239" s="9"/>
      <c r="X3239" s="10"/>
    </row>
    <row r="3240" spans="1:24">
      <c r="A3240" s="11" t="s">
        <v>95</v>
      </c>
      <c r="B3240" s="7">
        <f>$B$2978</f>
        <v>0</v>
      </c>
      <c r="C3240" s="7">
        <f>$C$2978</f>
        <v>6.3283421526791173E-2</v>
      </c>
      <c r="D3240" s="7">
        <f>$D$2978</f>
        <v>5.5895501029162645E-3</v>
      </c>
      <c r="E3240" s="7">
        <f>$E$2978</f>
        <v>1.4061164950729609E-2</v>
      </c>
      <c r="F3240" s="7">
        <f>$F$2978</f>
        <v>3.0582789007013722E-3</v>
      </c>
      <c r="G3240" s="7">
        <f>$G$2978</f>
        <v>1.1616627381433407E-3</v>
      </c>
      <c r="H3240" s="7">
        <f>$H$2978</f>
        <v>1.4752327171188609E-2</v>
      </c>
      <c r="I3240" s="7">
        <f>$I$2978</f>
        <v>1.1398577666145758E-3</v>
      </c>
      <c r="J3240" s="7">
        <f>$J$2978</f>
        <v>0</v>
      </c>
      <c r="K3240" s="9"/>
      <c r="L3240" s="9"/>
      <c r="M3240" s="7">
        <f>$K$2978</f>
        <v>7.5870275486639186E-3</v>
      </c>
      <c r="N3240" s="7">
        <f>$L$2978</f>
        <v>3.3247187678140437E-2</v>
      </c>
      <c r="O3240" s="7">
        <f>$M$2978</f>
        <v>2.9365798628532094E-3</v>
      </c>
      <c r="P3240" s="7">
        <f>$N$2978</f>
        <v>7.3873090109750619E-3</v>
      </c>
      <c r="Q3240" s="7">
        <f>$O$2978</f>
        <v>6.4269074035871766E-3</v>
      </c>
      <c r="R3240" s="7">
        <f>$P$2978</f>
        <v>2.4412092862206225E-3</v>
      </c>
      <c r="S3240" s="7">
        <f>$Q$2978</f>
        <v>3.1001698600774636E-2</v>
      </c>
      <c r="T3240" s="7">
        <f>$R$2978</f>
        <v>1.1976933035132106E-2</v>
      </c>
      <c r="U3240" s="7">
        <f>$S$2978</f>
        <v>0</v>
      </c>
      <c r="V3240" s="9"/>
      <c r="W3240" s="9"/>
      <c r="X3240" s="10"/>
    </row>
    <row r="3241" spans="1:24">
      <c r="A3241" s="11" t="s">
        <v>130</v>
      </c>
      <c r="B3241" s="9"/>
      <c r="C3241" s="9"/>
      <c r="D3241" s="9"/>
      <c r="E3241" s="9"/>
      <c r="F3241" s="9"/>
      <c r="G3241" s="9"/>
      <c r="H3241" s="9"/>
      <c r="I3241" s="9"/>
      <c r="J3241" s="9"/>
      <c r="K3241" s="9"/>
      <c r="L3241" s="9"/>
      <c r="M3241" s="9"/>
      <c r="N3241" s="9"/>
      <c r="O3241" s="9"/>
      <c r="P3241" s="9"/>
      <c r="Q3241" s="9"/>
      <c r="R3241" s="9"/>
      <c r="S3241" s="9"/>
      <c r="T3241" s="9"/>
      <c r="U3241" s="9"/>
      <c r="V3241" s="9"/>
      <c r="W3241" s="9"/>
      <c r="X3241" s="10"/>
    </row>
    <row r="3242" spans="1:24">
      <c r="A3242" s="11" t="s">
        <v>96</v>
      </c>
      <c r="B3242" s="7">
        <f>$B$2979</f>
        <v>0</v>
      </c>
      <c r="C3242" s="7">
        <f>$C$2979</f>
        <v>4.8403886345221157E-2</v>
      </c>
      <c r="D3242" s="7">
        <f>$D$2979</f>
        <v>4.27530530706115E-3</v>
      </c>
      <c r="E3242" s="7">
        <f>$E$2979</f>
        <v>9.5020565649254797E-3</v>
      </c>
      <c r="F3242" s="7">
        <f>$F$2979</f>
        <v>2.0666807627681438E-3</v>
      </c>
      <c r="G3242" s="7">
        <f>$G$2979</f>
        <v>8.8852640694789254E-4</v>
      </c>
      <c r="H3242" s="7">
        <f>$H$2979</f>
        <v>9.9691204630700057E-3</v>
      </c>
      <c r="I3242" s="7">
        <f>$I$2979</f>
        <v>7.7027707251093192E-4</v>
      </c>
      <c r="J3242" s="7">
        <f>$J$2979</f>
        <v>0</v>
      </c>
      <c r="K3242" s="9"/>
      <c r="L3242" s="9"/>
      <c r="M3242" s="7">
        <f>$K$2979</f>
        <v>1.9126978028564704E-3</v>
      </c>
      <c r="N3242" s="7">
        <f>$L$2979</f>
        <v>2.5429931802749467E-2</v>
      </c>
      <c r="O3242" s="7">
        <f>$M$2979</f>
        <v>2.2461155622730635E-3</v>
      </c>
      <c r="P3242" s="7">
        <f>$N$2979</f>
        <v>4.9920919305641515E-3</v>
      </c>
      <c r="Q3242" s="7">
        <f>$O$2979</f>
        <v>4.3430852209194052E-3</v>
      </c>
      <c r="R3242" s="7">
        <f>$P$2979</f>
        <v>1.8672191544683865E-3</v>
      </c>
      <c r="S3242" s="7">
        <f>$Q$2979</f>
        <v>2.09498924694747E-2</v>
      </c>
      <c r="T3242" s="7">
        <f>$R$2979</f>
        <v>8.0936035935091407E-3</v>
      </c>
      <c r="U3242" s="7">
        <f>$S$2979</f>
        <v>0</v>
      </c>
      <c r="V3242" s="9"/>
      <c r="W3242" s="9"/>
      <c r="X3242" s="10"/>
    </row>
    <row r="3243" spans="1:24">
      <c r="A3243" s="11" t="s">
        <v>97</v>
      </c>
      <c r="B3243" s="7">
        <f>$B$2980</f>
        <v>0</v>
      </c>
      <c r="C3243" s="7">
        <f>$C$2980</f>
        <v>4.816994512666354E-2</v>
      </c>
      <c r="D3243" s="7">
        <f>$D$2980</f>
        <v>4.2546422940521024E-3</v>
      </c>
      <c r="E3243" s="7">
        <f>$E$2980</f>
        <v>9.4026015059807816E-3</v>
      </c>
      <c r="F3243" s="7">
        <f>$F$2980</f>
        <v>2.0450494605677673E-3</v>
      </c>
      <c r="G3243" s="7">
        <f>$G$2980</f>
        <v>8.842320627111608E-4</v>
      </c>
      <c r="H3243" s="7">
        <f>$H$2980</f>
        <v>9.8647767921492043E-3</v>
      </c>
      <c r="I3243" s="7">
        <f>$I$2980</f>
        <v>0</v>
      </c>
      <c r="J3243" s="7">
        <f>$J$2980</f>
        <v>0</v>
      </c>
      <c r="K3243" s="9"/>
      <c r="L3243" s="9"/>
      <c r="M3243" s="7">
        <f>$K$2980</f>
        <v>1.737243535126674E-3</v>
      </c>
      <c r="N3243" s="7">
        <f>$L$2980</f>
        <v>2.5307026191589591E-2</v>
      </c>
      <c r="O3243" s="7">
        <f>$M$2980</f>
        <v>2.2352598427981484E-3</v>
      </c>
      <c r="P3243" s="7">
        <f>$N$2980</f>
        <v>4.9398412631618668E-3</v>
      </c>
      <c r="Q3243" s="7">
        <f>$O$2980</f>
        <v>4.2976275040875799E-3</v>
      </c>
      <c r="R3243" s="7">
        <f>$P$2980</f>
        <v>1.8581946823176371E-3</v>
      </c>
      <c r="S3243" s="7">
        <f>$Q$2980</f>
        <v>2.0730616486828193E-2</v>
      </c>
      <c r="T3243" s="7">
        <f>$R$2980</f>
        <v>0</v>
      </c>
      <c r="U3243" s="7">
        <f>$S$2980</f>
        <v>0</v>
      </c>
      <c r="V3243" s="9"/>
      <c r="W3243" s="9"/>
      <c r="X3243" s="10"/>
    </row>
    <row r="3244" spans="1:24">
      <c r="A3244" s="11" t="s">
        <v>110</v>
      </c>
      <c r="B3244" s="7">
        <f>$B$2981</f>
        <v>0</v>
      </c>
      <c r="C3244" s="7">
        <f>$C$2981</f>
        <v>4.1557824197976372E-2</v>
      </c>
      <c r="D3244" s="7">
        <f>$D$2981</f>
        <v>2.4991471220390418E-3</v>
      </c>
      <c r="E3244" s="7">
        <f>$E$2981</f>
        <v>4.4317444432062777E-3</v>
      </c>
      <c r="F3244" s="7">
        <f>$F$2981</f>
        <v>0</v>
      </c>
      <c r="G3244" s="7">
        <f>$G$2981</f>
        <v>0</v>
      </c>
      <c r="H3244" s="7">
        <f>$H$2981</f>
        <v>0</v>
      </c>
      <c r="I3244" s="7">
        <f>$I$2981</f>
        <v>0</v>
      </c>
      <c r="J3244" s="7">
        <f>$J$2981</f>
        <v>0</v>
      </c>
      <c r="K3244" s="9"/>
      <c r="L3244" s="9"/>
      <c r="M3244" s="7">
        <f>$K$2981</f>
        <v>1.6752619353919236E-3</v>
      </c>
      <c r="N3244" s="7">
        <f>$L$2981</f>
        <v>2.1833218673556538E-2</v>
      </c>
      <c r="O3244" s="7">
        <f>$M$2981</f>
        <v>2.0515249935596381E-3</v>
      </c>
      <c r="P3244" s="7">
        <f>$N$2981</f>
        <v>3.637974895567068E-3</v>
      </c>
      <c r="Q3244" s="7">
        <f>$O$2981</f>
        <v>0</v>
      </c>
      <c r="R3244" s="7">
        <f>$P$2981</f>
        <v>0</v>
      </c>
      <c r="S3244" s="7">
        <f>$Q$2981</f>
        <v>0</v>
      </c>
      <c r="T3244" s="7">
        <f>$R$2981</f>
        <v>0</v>
      </c>
      <c r="U3244" s="7">
        <f>$S$2981</f>
        <v>0</v>
      </c>
      <c r="V3244" s="9"/>
      <c r="W3244" s="9"/>
      <c r="X3244" s="10"/>
    </row>
    <row r="3245" spans="1:24">
      <c r="A3245" s="11" t="s">
        <v>1647</v>
      </c>
      <c r="B3245" s="7">
        <f>$B$2982</f>
        <v>0</v>
      </c>
      <c r="C3245" s="7">
        <f>$C$2982</f>
        <v>0.23820498915608751</v>
      </c>
      <c r="D3245" s="7">
        <f>$D$2982</f>
        <v>2.1039613369970848E-2</v>
      </c>
      <c r="E3245" s="7">
        <f>$E$2982</f>
        <v>7.7199616858126013E-2</v>
      </c>
      <c r="F3245" s="7">
        <f>$F$2982</f>
        <v>1.6790782286298832E-2</v>
      </c>
      <c r="G3245" s="7">
        <f>$G$2982</f>
        <v>4.3726121828813877E-3</v>
      </c>
      <c r="H3245" s="7">
        <f>$H$2982</f>
        <v>8.0994285279498743E-2</v>
      </c>
      <c r="I3245" s="7">
        <f>$I$2982</f>
        <v>6.2581289077928426E-3</v>
      </c>
      <c r="J3245" s="7">
        <f>$J$2982</f>
        <v>0</v>
      </c>
      <c r="K3245" s="9"/>
      <c r="L3245" s="9"/>
      <c r="M3245" s="7">
        <f>$K$2982</f>
        <v>0.10033361820072305</v>
      </c>
      <c r="N3245" s="7">
        <f>$L$2982</f>
        <v>0.12514566673657254</v>
      </c>
      <c r="O3245" s="7">
        <f>$M$2982</f>
        <v>1.105357386674795E-2</v>
      </c>
      <c r="P3245" s="7">
        <f>$N$2982</f>
        <v>4.0558334053983555E-2</v>
      </c>
      <c r="Q3245" s="7">
        <f>$O$2982</f>
        <v>3.5285468229560801E-2</v>
      </c>
      <c r="R3245" s="7">
        <f>$P$2982</f>
        <v>9.1889505580184348E-3</v>
      </c>
      <c r="S3245" s="7">
        <f>$Q$2982</f>
        <v>0.17020775037609662</v>
      </c>
      <c r="T3245" s="7">
        <f>$R$2982</f>
        <v>6.5756617228194494E-2</v>
      </c>
      <c r="U3245" s="7">
        <f>$S$2982</f>
        <v>0</v>
      </c>
      <c r="V3245" s="9"/>
      <c r="W3245" s="9"/>
      <c r="X3245" s="10"/>
    </row>
    <row r="3246" spans="1:24">
      <c r="A3246" s="11" t="s">
        <v>1646</v>
      </c>
      <c r="B3246" s="7">
        <f>$B$2983</f>
        <v>0</v>
      </c>
      <c r="C3246" s="7">
        <f>$C$2983</f>
        <v>0.2412308052001545</v>
      </c>
      <c r="D3246" s="7">
        <f>$D$2983</f>
        <v>2.1306870575293728E-2</v>
      </c>
      <c r="E3246" s="7">
        <f>$E$2983</f>
        <v>7.5886767598630139E-2</v>
      </c>
      <c r="F3246" s="7">
        <f>$F$2983</f>
        <v>1.6505239857617683E-2</v>
      </c>
      <c r="G3246" s="7">
        <f>$G$2983</f>
        <v>4.4281556043030768E-3</v>
      </c>
      <c r="H3246" s="7">
        <f>$H$2983</f>
        <v>7.961690425378716E-2</v>
      </c>
      <c r="I3246" s="7">
        <f>$I$2983</f>
        <v>6.1517037694722157E-3</v>
      </c>
      <c r="J3246" s="7">
        <f>$J$2983</f>
        <v>0</v>
      </c>
      <c r="K3246" s="9"/>
      <c r="L3246" s="9"/>
      <c r="M3246" s="7">
        <f>$K$2983</f>
        <v>0.10059899395696414</v>
      </c>
      <c r="N3246" s="7">
        <f>$L$2983</f>
        <v>0.12673533858852881</v>
      </c>
      <c r="O3246" s="7">
        <f>$M$2983</f>
        <v>1.119398268550854E-2</v>
      </c>
      <c r="P3246" s="7">
        <f>$N$2983</f>
        <v>3.9868602925822477E-2</v>
      </c>
      <c r="Q3246" s="7">
        <f>$O$2983</f>
        <v>3.468540695048377E-2</v>
      </c>
      <c r="R3246" s="7">
        <f>$P$2983</f>
        <v>9.3056738648017844E-3</v>
      </c>
      <c r="S3246" s="7">
        <f>$Q$2983</f>
        <v>0.16731321374319627</v>
      </c>
      <c r="T3246" s="7">
        <f>$R$2983</f>
        <v>6.4638366519856924E-2</v>
      </c>
      <c r="U3246" s="7">
        <f>$S$2983</f>
        <v>0</v>
      </c>
      <c r="V3246" s="9"/>
      <c r="W3246" s="9"/>
      <c r="X3246" s="10"/>
    </row>
    <row r="3247" spans="1:24">
      <c r="A3247" s="11" t="s">
        <v>98</v>
      </c>
      <c r="B3247" s="7">
        <f>$B$2984</f>
        <v>0</v>
      </c>
      <c r="C3247" s="7">
        <f>$C$2984</f>
        <v>0.19404304239888007</v>
      </c>
      <c r="D3247" s="7">
        <f>$D$2984</f>
        <v>1.7138980185381913E-2</v>
      </c>
      <c r="E3247" s="7">
        <f>$E$2984</f>
        <v>6.2481891630174244E-2</v>
      </c>
      <c r="F3247" s="7">
        <f>$F$2984</f>
        <v>1.3589702668167366E-2</v>
      </c>
      <c r="G3247" s="7">
        <f>$G$2984</f>
        <v>3.5619529809291124E-3</v>
      </c>
      <c r="H3247" s="7">
        <f>$H$2984</f>
        <v>5.244250022429351E-2</v>
      </c>
      <c r="I3247" s="7">
        <f>$I$2984</f>
        <v>0</v>
      </c>
      <c r="J3247" s="7">
        <f>$J$2984</f>
        <v>0</v>
      </c>
      <c r="K3247" s="9"/>
      <c r="L3247" s="9"/>
      <c r="M3247" s="7">
        <f>$K$2984</f>
        <v>8.3396703534292169E-2</v>
      </c>
      <c r="N3247" s="7">
        <f>$L$2984</f>
        <v>0.10194432116066481</v>
      </c>
      <c r="O3247" s="7">
        <f>$M$2984</f>
        <v>9.0042996583882054E-3</v>
      </c>
      <c r="P3247" s="7">
        <f>$N$2984</f>
        <v>3.2826088213864769E-2</v>
      </c>
      <c r="Q3247" s="7">
        <f>$O$2984</f>
        <v>2.855846818632634E-2</v>
      </c>
      <c r="R3247" s="7">
        <f>$P$2984</f>
        <v>7.4853676618939786E-3</v>
      </c>
      <c r="S3247" s="7">
        <f>$Q$2984</f>
        <v>0.11020678750941848</v>
      </c>
      <c r="T3247" s="7">
        <f>$R$2984</f>
        <v>0</v>
      </c>
      <c r="U3247" s="7">
        <f>$S$2984</f>
        <v>0</v>
      </c>
      <c r="V3247" s="9"/>
      <c r="W3247" s="9"/>
      <c r="X3247" s="10"/>
    </row>
    <row r="3248" spans="1:24">
      <c r="A3248" s="11" t="s">
        <v>99</v>
      </c>
      <c r="B3248" s="7">
        <f>$B$2985</f>
        <v>0</v>
      </c>
      <c r="C3248" s="7">
        <f>$C$2985</f>
        <v>0.17194547403256599</v>
      </c>
      <c r="D3248" s="7">
        <f>$D$2985</f>
        <v>1.5187197829811275E-2</v>
      </c>
      <c r="E3248" s="7">
        <f>$E$2985</f>
        <v>5.5366470974605446E-2</v>
      </c>
      <c r="F3248" s="7">
        <f>$F$2985</f>
        <v>1.2042111061298998E-2</v>
      </c>
      <c r="G3248" s="7">
        <f>$G$2985</f>
        <v>3.156318753900874E-3</v>
      </c>
      <c r="H3248" s="7">
        <f>$H$2985</f>
        <v>0</v>
      </c>
      <c r="I3248" s="7">
        <f>$I$2985</f>
        <v>0</v>
      </c>
      <c r="J3248" s="7">
        <f>$J$2985</f>
        <v>0</v>
      </c>
      <c r="K3248" s="9"/>
      <c r="L3248" s="9"/>
      <c r="M3248" s="7">
        <f>$K$2985</f>
        <v>7.3899509844213812E-2</v>
      </c>
      <c r="N3248" s="7">
        <f>$L$2985</f>
        <v>9.033492987017723E-2</v>
      </c>
      <c r="O3248" s="7">
        <f>$M$2985</f>
        <v>7.9788924866999907E-3</v>
      </c>
      <c r="P3248" s="7">
        <f>$N$2985</f>
        <v>2.9087862305133497E-2</v>
      </c>
      <c r="Q3248" s="7">
        <f>$O$2985</f>
        <v>2.5306237674050092E-2</v>
      </c>
      <c r="R3248" s="7">
        <f>$P$2985</f>
        <v>6.6329360487280675E-3</v>
      </c>
      <c r="S3248" s="7">
        <f>$Q$2985</f>
        <v>0</v>
      </c>
      <c r="T3248" s="7">
        <f>$R$2985</f>
        <v>0</v>
      </c>
      <c r="U3248" s="7">
        <f>$S$2985</f>
        <v>0</v>
      </c>
      <c r="V3248" s="9"/>
      <c r="W3248" s="9"/>
      <c r="X3248" s="10"/>
    </row>
    <row r="3249" spans="1:24">
      <c r="A3249" s="11" t="s">
        <v>111</v>
      </c>
      <c r="B3249" s="7">
        <f>$B$2986</f>
        <v>0</v>
      </c>
      <c r="C3249" s="7">
        <f>$C$2986</f>
        <v>0.16441513358121623</v>
      </c>
      <c r="D3249" s="7">
        <f>$D$2986</f>
        <v>9.8873705695393353E-3</v>
      </c>
      <c r="E3249" s="7">
        <f>$E$2986</f>
        <v>2.8836330271750754E-2</v>
      </c>
      <c r="F3249" s="7">
        <f>$F$2986</f>
        <v>0</v>
      </c>
      <c r="G3249" s="7">
        <f>$G$2986</f>
        <v>0</v>
      </c>
      <c r="H3249" s="7">
        <f>$H$2986</f>
        <v>0</v>
      </c>
      <c r="I3249" s="7">
        <f>$I$2986</f>
        <v>0</v>
      </c>
      <c r="J3249" s="7">
        <f>$J$2986</f>
        <v>0</v>
      </c>
      <c r="K3249" s="9"/>
      <c r="L3249" s="9"/>
      <c r="M3249" s="7">
        <f>$K$2986</f>
        <v>7.5173495520394262E-2</v>
      </c>
      <c r="N3249" s="7">
        <f>$L$2986</f>
        <v>8.6378717702345453E-2</v>
      </c>
      <c r="O3249" s="7">
        <f>$M$2986</f>
        <v>8.1164440721065555E-3</v>
      </c>
      <c r="P3249" s="7">
        <f>$N$2986</f>
        <v>2.3671456455420681E-2</v>
      </c>
      <c r="Q3249" s="7">
        <f>$O$2986</f>
        <v>0</v>
      </c>
      <c r="R3249" s="7">
        <f>$P$2986</f>
        <v>0</v>
      </c>
      <c r="S3249" s="7">
        <f>$Q$2986</f>
        <v>0</v>
      </c>
      <c r="T3249" s="7">
        <f>$R$2986</f>
        <v>0</v>
      </c>
      <c r="U3249" s="7">
        <f>$S$2986</f>
        <v>0</v>
      </c>
      <c r="V3249" s="9"/>
      <c r="W3249" s="9"/>
      <c r="X3249" s="10"/>
    </row>
    <row r="3250" spans="1:24">
      <c r="A3250" s="11" t="s">
        <v>131</v>
      </c>
      <c r="B3250" s="9"/>
      <c r="C3250" s="9"/>
      <c r="D3250" s="9"/>
      <c r="E3250" s="9"/>
      <c r="F3250" s="9"/>
      <c r="G3250" s="9"/>
      <c r="H3250" s="9"/>
      <c r="I3250" s="9"/>
      <c r="J3250" s="9"/>
      <c r="K3250" s="9"/>
      <c r="L3250" s="9"/>
      <c r="M3250" s="9"/>
      <c r="N3250" s="9"/>
      <c r="O3250" s="9"/>
      <c r="P3250" s="9"/>
      <c r="Q3250" s="9"/>
      <c r="R3250" s="9"/>
      <c r="S3250" s="9"/>
      <c r="T3250" s="9"/>
      <c r="U3250" s="9"/>
      <c r="V3250" s="9"/>
      <c r="W3250" s="9"/>
      <c r="X3250" s="10"/>
    </row>
    <row r="3251" spans="1:24">
      <c r="A3251" s="11" t="s">
        <v>132</v>
      </c>
      <c r="B3251" s="9"/>
      <c r="C3251" s="9"/>
      <c r="D3251" s="9"/>
      <c r="E3251" s="9"/>
      <c r="F3251" s="9"/>
      <c r="G3251" s="9"/>
      <c r="H3251" s="9"/>
      <c r="I3251" s="9"/>
      <c r="J3251" s="9"/>
      <c r="K3251" s="9"/>
      <c r="L3251" s="9"/>
      <c r="M3251" s="9"/>
      <c r="N3251" s="9"/>
      <c r="O3251" s="9"/>
      <c r="P3251" s="9"/>
      <c r="Q3251" s="9"/>
      <c r="R3251" s="9"/>
      <c r="S3251" s="9"/>
      <c r="T3251" s="9"/>
      <c r="U3251" s="9"/>
      <c r="V3251" s="9"/>
      <c r="W3251" s="9"/>
      <c r="X3251" s="10"/>
    </row>
    <row r="3252" spans="1:24">
      <c r="A3252" s="11" t="s">
        <v>133</v>
      </c>
      <c r="B3252" s="9"/>
      <c r="C3252" s="9"/>
      <c r="D3252" s="9"/>
      <c r="E3252" s="9"/>
      <c r="F3252" s="9"/>
      <c r="G3252" s="9"/>
      <c r="H3252" s="9"/>
      <c r="I3252" s="9"/>
      <c r="J3252" s="9"/>
      <c r="K3252" s="9"/>
      <c r="L3252" s="9"/>
      <c r="M3252" s="9"/>
      <c r="N3252" s="9"/>
      <c r="O3252" s="9"/>
      <c r="P3252" s="9"/>
      <c r="Q3252" s="9"/>
      <c r="R3252" s="9"/>
      <c r="S3252" s="9"/>
      <c r="T3252" s="9"/>
      <c r="U3252" s="9"/>
      <c r="V3252" s="9"/>
      <c r="W3252" s="9"/>
      <c r="X3252" s="10"/>
    </row>
    <row r="3253" spans="1:24">
      <c r="A3253" s="11" t="s">
        <v>134</v>
      </c>
      <c r="B3253" s="9"/>
      <c r="C3253" s="9"/>
      <c r="D3253" s="9"/>
      <c r="E3253" s="9"/>
      <c r="F3253" s="9"/>
      <c r="G3253" s="9"/>
      <c r="H3253" s="9"/>
      <c r="I3253" s="9"/>
      <c r="J3253" s="9"/>
      <c r="K3253" s="9"/>
      <c r="L3253" s="9"/>
      <c r="M3253" s="9"/>
      <c r="N3253" s="9"/>
      <c r="O3253" s="9"/>
      <c r="P3253" s="9"/>
      <c r="Q3253" s="9"/>
      <c r="R3253" s="9"/>
      <c r="S3253" s="9"/>
      <c r="T3253" s="9"/>
      <c r="U3253" s="9"/>
      <c r="V3253" s="9"/>
      <c r="W3253" s="9"/>
      <c r="X3253" s="10"/>
    </row>
    <row r="3254" spans="1:24">
      <c r="A3254" s="11" t="s">
        <v>135</v>
      </c>
      <c r="B3254" s="7">
        <f>$B$2847</f>
        <v>0</v>
      </c>
      <c r="C3254" s="7">
        <f>$C$2847</f>
        <v>0.18156107326586174</v>
      </c>
      <c r="D3254" s="7">
        <f>$D$2847</f>
        <v>1.6036501998065136E-2</v>
      </c>
      <c r="E3254" s="7">
        <f>$E$2847</f>
        <v>5.5418312163598819E-2</v>
      </c>
      <c r="F3254" s="7">
        <f>$F$2847</f>
        <v>1.2053386429665787E-2</v>
      </c>
      <c r="G3254" s="7">
        <f>$G$2847</f>
        <v>3.3328275940480603E-3</v>
      </c>
      <c r="H3254" s="7">
        <f>$H$2847</f>
        <v>5.8142342770116637E-2</v>
      </c>
      <c r="I3254" s="7">
        <f>$I$2847</f>
        <v>4.4924438162622805E-3</v>
      </c>
      <c r="J3254" s="7">
        <f>$J$2847</f>
        <v>9.2523973952517331E-3</v>
      </c>
      <c r="K3254" s="9"/>
      <c r="L3254" s="9"/>
      <c r="M3254" s="7">
        <f>$K$2847</f>
        <v>0.10801494170431458</v>
      </c>
      <c r="N3254" s="7">
        <f>$L$2847</f>
        <v>9.5386673670278574E-2</v>
      </c>
      <c r="O3254" s="7">
        <f>$M$2847</f>
        <v>8.4250911023328236E-3</v>
      </c>
      <c r="P3254" s="7">
        <f>$N$2847</f>
        <v>2.9115098091352654E-2</v>
      </c>
      <c r="Q3254" s="7">
        <f>$O$2847</f>
        <v>2.5329932618424877E-2</v>
      </c>
      <c r="R3254" s="7">
        <f>$P$2847</f>
        <v>7.0038655840560507E-3</v>
      </c>
      <c r="S3254" s="7">
        <f>$Q$2847</f>
        <v>0.12218488415999888</v>
      </c>
      <c r="T3254" s="7">
        <f>$R$2847</f>
        <v>4.7203870805102098E-2</v>
      </c>
      <c r="U3254" s="7">
        <f>$S$2847</f>
        <v>9.721857170521099E-2</v>
      </c>
      <c r="V3254" s="7">
        <f>$B$2621</f>
        <v>0.8410505145630508</v>
      </c>
      <c r="W3254" s="9"/>
      <c r="X3254" s="10"/>
    </row>
    <row r="3255" spans="1:24">
      <c r="A3255" s="11" t="s">
        <v>1645</v>
      </c>
      <c r="B3255" s="9"/>
      <c r="C3255" s="9"/>
      <c r="D3255" s="9"/>
      <c r="E3255" s="9"/>
      <c r="F3255" s="9"/>
      <c r="G3255" s="9"/>
      <c r="H3255" s="9"/>
      <c r="I3255" s="9"/>
      <c r="J3255" s="9"/>
      <c r="K3255" s="9"/>
      <c r="L3255" s="9"/>
      <c r="M3255" s="9"/>
      <c r="N3255" s="9"/>
      <c r="O3255" s="9"/>
      <c r="P3255" s="9"/>
      <c r="Q3255" s="9"/>
      <c r="R3255" s="9"/>
      <c r="S3255" s="9"/>
      <c r="T3255" s="9"/>
      <c r="U3255" s="9"/>
      <c r="V3255" s="9"/>
      <c r="W3255" s="9"/>
      <c r="X3255" s="10"/>
    </row>
    <row r="3256" spans="1:24">
      <c r="A3256" s="11" t="s">
        <v>100</v>
      </c>
      <c r="B3256" s="9"/>
      <c r="C3256" s="9"/>
      <c r="D3256" s="9"/>
      <c r="E3256" s="9"/>
      <c r="F3256" s="9"/>
      <c r="G3256" s="9"/>
      <c r="H3256" s="9"/>
      <c r="I3256" s="9"/>
      <c r="J3256" s="9"/>
      <c r="K3256" s="9"/>
      <c r="L3256" s="9"/>
      <c r="M3256" s="9"/>
      <c r="N3256" s="9"/>
      <c r="O3256" s="9"/>
      <c r="P3256" s="9"/>
      <c r="Q3256" s="9"/>
      <c r="R3256" s="9"/>
      <c r="S3256" s="9"/>
      <c r="T3256" s="9"/>
      <c r="U3256" s="9"/>
      <c r="V3256" s="9"/>
      <c r="W3256" s="9"/>
      <c r="X3256" s="10"/>
    </row>
    <row r="3257" spans="1:24">
      <c r="A3257" s="11" t="s">
        <v>101</v>
      </c>
      <c r="B3257" s="9"/>
      <c r="C3257" s="9"/>
      <c r="D3257" s="9"/>
      <c r="E3257" s="9"/>
      <c r="F3257" s="9"/>
      <c r="G3257" s="9"/>
      <c r="H3257" s="9"/>
      <c r="I3257" s="9"/>
      <c r="J3257" s="9"/>
      <c r="K3257" s="9"/>
      <c r="L3257" s="9"/>
      <c r="M3257" s="9"/>
      <c r="N3257" s="9"/>
      <c r="O3257" s="9"/>
      <c r="P3257" s="9"/>
      <c r="Q3257" s="9"/>
      <c r="R3257" s="9"/>
      <c r="S3257" s="9"/>
      <c r="T3257" s="9"/>
      <c r="U3257" s="9"/>
      <c r="V3257" s="9"/>
      <c r="W3257" s="9"/>
      <c r="X3257" s="10"/>
    </row>
    <row r="3258" spans="1:24">
      <c r="A3258" s="11" t="s">
        <v>102</v>
      </c>
      <c r="B3258" s="7">
        <f>$B$2848</f>
        <v>0</v>
      </c>
      <c r="C3258" s="7">
        <f>$C$2848</f>
        <v>-0.16644545311244391</v>
      </c>
      <c r="D3258" s="7">
        <f>$D$2848</f>
        <v>-1.4701404840772356E-2</v>
      </c>
      <c r="E3258" s="7">
        <f>$E$2848</f>
        <v>-5.3595463331938528E-2</v>
      </c>
      <c r="F3258" s="7">
        <f>$F$2848</f>
        <v>-1.1656919981788328E-2</v>
      </c>
      <c r="G3258" s="7">
        <f>$G$2848</f>
        <v>-3.0553575667879155E-3</v>
      </c>
      <c r="H3258" s="7">
        <f>$H$2848</f>
        <v>-5.622989366348155E-2</v>
      </c>
      <c r="I3258" s="7">
        <f>$I$2848</f>
        <v>-4.3446759460031041E-3</v>
      </c>
      <c r="J3258" s="7">
        <f>$J$2848</f>
        <v>0</v>
      </c>
      <c r="K3258" s="9"/>
      <c r="L3258" s="9"/>
      <c r="M3258" s="7">
        <f>$K$2848</f>
        <v>-7.1535685774887281E-2</v>
      </c>
      <c r="N3258" s="7">
        <f>$L$2848</f>
        <v>-8.7445385920857363E-2</v>
      </c>
      <c r="O3258" s="7">
        <f>$M$2848</f>
        <v>-7.7236716043640992E-3</v>
      </c>
      <c r="P3258" s="7">
        <f>$N$2848</f>
        <v>-2.8157428677263976E-2</v>
      </c>
      <c r="Q3258" s="7">
        <f>$O$2848</f>
        <v>-2.4496766896177243E-2</v>
      </c>
      <c r="R3258" s="7">
        <f>$P$2848</f>
        <v>-6.4207682831320589E-3</v>
      </c>
      <c r="S3258" s="7">
        <f>$Q$2848</f>
        <v>-0.11816591345082064</v>
      </c>
      <c r="T3258" s="7">
        <f>$R$2848</f>
        <v>-4.5651215782103363E-2</v>
      </c>
      <c r="U3258" s="7">
        <f>$S$2848</f>
        <v>0</v>
      </c>
      <c r="V3258" s="9"/>
      <c r="W3258" s="9"/>
      <c r="X3258" s="10"/>
    </row>
    <row r="3259" spans="1:24">
      <c r="A3259" s="11" t="s">
        <v>103</v>
      </c>
      <c r="B3259" s="9"/>
      <c r="C3259" s="9"/>
      <c r="D3259" s="9"/>
      <c r="E3259" s="9"/>
      <c r="F3259" s="9"/>
      <c r="G3259" s="9"/>
      <c r="H3259" s="9"/>
      <c r="I3259" s="9"/>
      <c r="J3259" s="9"/>
      <c r="K3259" s="9"/>
      <c r="L3259" s="9"/>
      <c r="M3259" s="9"/>
      <c r="N3259" s="9"/>
      <c r="O3259" s="9"/>
      <c r="P3259" s="9"/>
      <c r="Q3259" s="9"/>
      <c r="R3259" s="9"/>
      <c r="S3259" s="9"/>
      <c r="T3259" s="9"/>
      <c r="U3259" s="9"/>
      <c r="V3259" s="9"/>
      <c r="W3259" s="9"/>
      <c r="X3259" s="10"/>
    </row>
    <row r="3260" spans="1:24">
      <c r="A3260" s="11" t="s">
        <v>104</v>
      </c>
      <c r="B3260" s="7">
        <f>$B$2849</f>
        <v>0</v>
      </c>
      <c r="C3260" s="7">
        <f>$C$2849</f>
        <v>-0.16322392821349344</v>
      </c>
      <c r="D3260" s="7">
        <f>$D$2849</f>
        <v>-1.4416861521273536E-2</v>
      </c>
      <c r="E3260" s="7">
        <f>$E$2849</f>
        <v>-5.2558131783578425E-2</v>
      </c>
      <c r="F3260" s="7">
        <f>$F$2849</f>
        <v>-1.1431302175689202E-2</v>
      </c>
      <c r="G3260" s="7">
        <f>$G$2849</f>
        <v>-2.9962216138823428E-3</v>
      </c>
      <c r="H3260" s="7">
        <f>$H$2849</f>
        <v>-5.5141573140962546E-2</v>
      </c>
      <c r="I3260" s="7">
        <f>$I$2849</f>
        <v>0</v>
      </c>
      <c r="J3260" s="7">
        <f>$J$2849</f>
        <v>0</v>
      </c>
      <c r="K3260" s="9"/>
      <c r="L3260" s="9"/>
      <c r="M3260" s="7">
        <f>$K$2849</f>
        <v>-7.0151124114728167E-2</v>
      </c>
      <c r="N3260" s="7">
        <f>$L$2849</f>
        <v>-8.5752894580453709E-2</v>
      </c>
      <c r="O3260" s="7">
        <f>$M$2849</f>
        <v>-7.574181186215119E-3</v>
      </c>
      <c r="P3260" s="7">
        <f>$N$2849</f>
        <v>-2.7612446186736292E-2</v>
      </c>
      <c r="Q3260" s="7">
        <f>$O$2849</f>
        <v>-2.4022635923993174E-2</v>
      </c>
      <c r="R3260" s="7">
        <f>$P$2849</f>
        <v>-6.2964953486198266E-3</v>
      </c>
      <c r="S3260" s="7">
        <f>$Q$2849</f>
        <v>-0.11587883125499829</v>
      </c>
      <c r="T3260" s="7">
        <f>$R$2849</f>
        <v>0</v>
      </c>
      <c r="U3260" s="7">
        <f>$S$2849</f>
        <v>0</v>
      </c>
      <c r="V3260" s="9"/>
      <c r="W3260" s="9"/>
      <c r="X3260" s="10"/>
    </row>
    <row r="3261" spans="1:24">
      <c r="A3261" s="11" t="s">
        <v>112</v>
      </c>
      <c r="B3261" s="9"/>
      <c r="C3261" s="9"/>
      <c r="D3261" s="9"/>
      <c r="E3261" s="9"/>
      <c r="F3261" s="9"/>
      <c r="G3261" s="9"/>
      <c r="H3261" s="9"/>
      <c r="I3261" s="9"/>
      <c r="J3261" s="9"/>
      <c r="K3261" s="9"/>
      <c r="L3261" s="9"/>
      <c r="M3261" s="9"/>
      <c r="N3261" s="9"/>
      <c r="O3261" s="9"/>
      <c r="P3261" s="9"/>
      <c r="Q3261" s="9"/>
      <c r="R3261" s="9"/>
      <c r="S3261" s="9"/>
      <c r="T3261" s="9"/>
      <c r="U3261" s="9"/>
      <c r="V3261" s="9"/>
      <c r="W3261" s="9"/>
      <c r="X3261" s="10"/>
    </row>
    <row r="3262" spans="1:24">
      <c r="A3262" s="11" t="s">
        <v>113</v>
      </c>
      <c r="B3262" s="7">
        <f>$B$2850</f>
        <v>0</v>
      </c>
      <c r="C3262" s="7">
        <f>$C$2850</f>
        <v>-0.16014046866735507</v>
      </c>
      <c r="D3262" s="7">
        <f>$D$2850</f>
        <v>-9.052488265899215E-3</v>
      </c>
      <c r="E3262" s="7">
        <f>$E$2850</f>
        <v>-3.300176467300904E-2</v>
      </c>
      <c r="F3262" s="7">
        <f>$F$2850</f>
        <v>-4.0375273334893828E-3</v>
      </c>
      <c r="G3262" s="7">
        <f>$G$2850</f>
        <v>-1.0582632212250375E-3</v>
      </c>
      <c r="H3262" s="7">
        <f>$H$2850</f>
        <v>0</v>
      </c>
      <c r="I3262" s="7">
        <f>$I$2850</f>
        <v>0</v>
      </c>
      <c r="J3262" s="7">
        <f>$J$2850</f>
        <v>0</v>
      </c>
      <c r="K3262" s="9"/>
      <c r="L3262" s="9"/>
      <c r="M3262" s="7">
        <f>$K$2850</f>
        <v>-6.8825900811433013E-2</v>
      </c>
      <c r="N3262" s="7">
        <f>$L$2850</f>
        <v>-8.4132938583210179E-2</v>
      </c>
      <c r="O3262" s="7">
        <f>$M$2850</f>
        <v>-7.4310975002725198E-3</v>
      </c>
      <c r="P3262" s="7">
        <f>$N$2850</f>
        <v>-2.7090820088659789E-2</v>
      </c>
      <c r="Q3262" s="7">
        <f>$O$2850</f>
        <v>-2.3568824850616985E-2</v>
      </c>
      <c r="R3262" s="7">
        <f>$P$2850</f>
        <v>-6.1775483970152598E-3</v>
      </c>
      <c r="S3262" s="7">
        <f>$Q$2850</f>
        <v>0</v>
      </c>
      <c r="T3262" s="7">
        <f>$R$2850</f>
        <v>0</v>
      </c>
      <c r="U3262" s="7">
        <f>$S$2850</f>
        <v>0</v>
      </c>
      <c r="V3262" s="9"/>
      <c r="W3262" s="9"/>
      <c r="X3262" s="10"/>
    </row>
    <row r="3264" spans="1:24" ht="21" customHeight="1">
      <c r="A3264" s="1" t="s">
        <v>766</v>
      </c>
    </row>
    <row r="3265" spans="1:24">
      <c r="A3265" s="2" t="s">
        <v>255</v>
      </c>
    </row>
    <row r="3266" spans="1:24">
      <c r="A3266" s="12" t="s">
        <v>1601</v>
      </c>
    </row>
    <row r="3267" spans="1:24">
      <c r="A3267" s="12" t="s">
        <v>1600</v>
      </c>
    </row>
    <row r="3268" spans="1:24">
      <c r="A3268" s="12" t="s">
        <v>1599</v>
      </c>
    </row>
    <row r="3269" spans="1:24">
      <c r="A3269" s="12" t="s">
        <v>767</v>
      </c>
    </row>
    <row r="3270" spans="1:24">
      <c r="A3270" s="12" t="s">
        <v>768</v>
      </c>
    </row>
    <row r="3271" spans="1:24">
      <c r="A3271" s="2" t="s">
        <v>341</v>
      </c>
    </row>
    <row r="3273" spans="1:24" ht="30">
      <c r="B3273" s="3" t="s">
        <v>60</v>
      </c>
      <c r="C3273" s="3" t="s">
        <v>220</v>
      </c>
      <c r="D3273" s="3" t="s">
        <v>221</v>
      </c>
      <c r="E3273" s="3" t="s">
        <v>222</v>
      </c>
      <c r="F3273" s="3" t="s">
        <v>223</v>
      </c>
      <c r="G3273" s="3" t="s">
        <v>224</v>
      </c>
      <c r="H3273" s="3" t="s">
        <v>225</v>
      </c>
      <c r="I3273" s="3" t="s">
        <v>226</v>
      </c>
      <c r="J3273" s="3" t="s">
        <v>227</v>
      </c>
      <c r="K3273" s="3" t="s">
        <v>364</v>
      </c>
      <c r="L3273" s="3" t="s">
        <v>376</v>
      </c>
      <c r="M3273" s="3" t="s">
        <v>208</v>
      </c>
      <c r="N3273" s="3" t="s">
        <v>624</v>
      </c>
      <c r="O3273" s="3" t="s">
        <v>625</v>
      </c>
      <c r="P3273" s="3" t="s">
        <v>626</v>
      </c>
      <c r="Q3273" s="3" t="s">
        <v>627</v>
      </c>
      <c r="R3273" s="3" t="s">
        <v>628</v>
      </c>
      <c r="S3273" s="3" t="s">
        <v>629</v>
      </c>
      <c r="T3273" s="3" t="s">
        <v>630</v>
      </c>
      <c r="U3273" s="3" t="s">
        <v>631</v>
      </c>
      <c r="V3273" s="3" t="s">
        <v>632</v>
      </c>
      <c r="W3273" s="3" t="s">
        <v>633</v>
      </c>
    </row>
    <row r="3274" spans="1:24">
      <c r="A3274" s="11" t="s">
        <v>92</v>
      </c>
      <c r="B3274" s="9"/>
      <c r="C3274" s="9"/>
      <c r="D3274" s="9"/>
      <c r="E3274" s="9"/>
      <c r="F3274" s="9"/>
      <c r="G3274" s="9"/>
      <c r="H3274" s="9"/>
      <c r="I3274" s="9"/>
      <c r="J3274" s="9"/>
      <c r="K3274" s="9"/>
      <c r="L3274" s="9"/>
      <c r="M3274" s="9"/>
      <c r="N3274" s="9"/>
      <c r="O3274" s="9"/>
      <c r="P3274" s="9"/>
      <c r="Q3274" s="9"/>
      <c r="R3274" s="9"/>
      <c r="S3274" s="9"/>
      <c r="T3274" s="9"/>
      <c r="U3274" s="9"/>
      <c r="V3274" s="9"/>
      <c r="W3274" s="9"/>
      <c r="X3274" s="10"/>
    </row>
    <row r="3275" spans="1:24">
      <c r="A3275" s="11" t="s">
        <v>93</v>
      </c>
      <c r="B3275" s="9"/>
      <c r="C3275" s="9"/>
      <c r="D3275" s="9"/>
      <c r="E3275" s="9"/>
      <c r="F3275" s="9"/>
      <c r="G3275" s="9"/>
      <c r="H3275" s="9"/>
      <c r="I3275" s="9"/>
      <c r="J3275" s="9"/>
      <c r="K3275" s="9"/>
      <c r="L3275" s="9"/>
      <c r="M3275" s="9"/>
      <c r="N3275" s="9"/>
      <c r="O3275" s="9"/>
      <c r="P3275" s="9"/>
      <c r="Q3275" s="9"/>
      <c r="R3275" s="9"/>
      <c r="S3275" s="9"/>
      <c r="T3275" s="9"/>
      <c r="U3275" s="9"/>
      <c r="V3275" s="9"/>
      <c r="W3275" s="9"/>
      <c r="X3275" s="10"/>
    </row>
    <row r="3276" spans="1:24">
      <c r="A3276" s="11" t="s">
        <v>129</v>
      </c>
      <c r="B3276" s="9"/>
      <c r="C3276" s="9"/>
      <c r="D3276" s="9"/>
      <c r="E3276" s="9"/>
      <c r="F3276" s="9"/>
      <c r="G3276" s="9"/>
      <c r="H3276" s="9"/>
      <c r="I3276" s="9"/>
      <c r="J3276" s="9"/>
      <c r="K3276" s="9"/>
      <c r="L3276" s="9"/>
      <c r="M3276" s="9"/>
      <c r="N3276" s="9"/>
      <c r="O3276" s="9"/>
      <c r="P3276" s="9"/>
      <c r="Q3276" s="9"/>
      <c r="R3276" s="9"/>
      <c r="S3276" s="9"/>
      <c r="T3276" s="9"/>
      <c r="U3276" s="9"/>
      <c r="V3276" s="9"/>
      <c r="W3276" s="9"/>
      <c r="X3276" s="10"/>
    </row>
    <row r="3277" spans="1:24">
      <c r="A3277" s="11" t="s">
        <v>94</v>
      </c>
      <c r="B3277" s="9"/>
      <c r="C3277" s="9"/>
      <c r="D3277" s="9"/>
      <c r="E3277" s="9"/>
      <c r="F3277" s="9"/>
      <c r="G3277" s="9"/>
      <c r="H3277" s="9"/>
      <c r="I3277" s="9"/>
      <c r="J3277" s="9"/>
      <c r="K3277" s="9"/>
      <c r="L3277" s="9"/>
      <c r="M3277" s="9"/>
      <c r="N3277" s="9"/>
      <c r="O3277" s="9"/>
      <c r="P3277" s="9"/>
      <c r="Q3277" s="9"/>
      <c r="R3277" s="9"/>
      <c r="S3277" s="9"/>
      <c r="T3277" s="9"/>
      <c r="U3277" s="9"/>
      <c r="V3277" s="9"/>
      <c r="W3277" s="9"/>
      <c r="X3277" s="10"/>
    </row>
    <row r="3278" spans="1:24">
      <c r="A3278" s="11" t="s">
        <v>95</v>
      </c>
      <c r="B3278" s="9"/>
      <c r="C3278" s="9"/>
      <c r="D3278" s="9"/>
      <c r="E3278" s="9"/>
      <c r="F3278" s="9"/>
      <c r="G3278" s="9"/>
      <c r="H3278" s="9"/>
      <c r="I3278" s="9"/>
      <c r="J3278" s="9"/>
      <c r="K3278" s="9"/>
      <c r="L3278" s="9"/>
      <c r="M3278" s="9"/>
      <c r="N3278" s="9"/>
      <c r="O3278" s="9"/>
      <c r="P3278" s="9"/>
      <c r="Q3278" s="9"/>
      <c r="R3278" s="9"/>
      <c r="S3278" s="9"/>
      <c r="T3278" s="9"/>
      <c r="U3278" s="9"/>
      <c r="V3278" s="9"/>
      <c r="W3278" s="9"/>
      <c r="X3278" s="10"/>
    </row>
    <row r="3279" spans="1:24">
      <c r="A3279" s="11" t="s">
        <v>130</v>
      </c>
      <c r="B3279" s="9"/>
      <c r="C3279" s="9"/>
      <c r="D3279" s="9"/>
      <c r="E3279" s="9"/>
      <c r="F3279" s="9"/>
      <c r="G3279" s="9"/>
      <c r="H3279" s="9"/>
      <c r="I3279" s="9"/>
      <c r="J3279" s="9"/>
      <c r="K3279" s="9"/>
      <c r="L3279" s="9"/>
      <c r="M3279" s="9"/>
      <c r="N3279" s="9"/>
      <c r="O3279" s="9"/>
      <c r="P3279" s="9"/>
      <c r="Q3279" s="9"/>
      <c r="R3279" s="9"/>
      <c r="S3279" s="9"/>
      <c r="T3279" s="9"/>
      <c r="U3279" s="9"/>
      <c r="V3279" s="9"/>
      <c r="W3279" s="9"/>
      <c r="X3279" s="10"/>
    </row>
    <row r="3280" spans="1:24">
      <c r="A3280" s="11" t="s">
        <v>96</v>
      </c>
      <c r="B3280" s="9"/>
      <c r="C3280" s="9"/>
      <c r="D3280" s="9"/>
      <c r="E3280" s="9"/>
      <c r="F3280" s="9"/>
      <c r="G3280" s="9"/>
      <c r="H3280" s="9"/>
      <c r="I3280" s="9"/>
      <c r="J3280" s="9"/>
      <c r="K3280" s="9"/>
      <c r="L3280" s="9"/>
      <c r="M3280" s="9"/>
      <c r="N3280" s="9"/>
      <c r="O3280" s="9"/>
      <c r="P3280" s="9"/>
      <c r="Q3280" s="9"/>
      <c r="R3280" s="9"/>
      <c r="S3280" s="9"/>
      <c r="T3280" s="9"/>
      <c r="U3280" s="9"/>
      <c r="V3280" s="9"/>
      <c r="W3280" s="9"/>
      <c r="X3280" s="10"/>
    </row>
    <row r="3281" spans="1:24">
      <c r="A3281" s="11" t="s">
        <v>97</v>
      </c>
      <c r="B3281" s="9"/>
      <c r="C3281" s="9"/>
      <c r="D3281" s="9"/>
      <c r="E3281" s="9"/>
      <c r="F3281" s="9"/>
      <c r="G3281" s="9"/>
      <c r="H3281" s="9"/>
      <c r="I3281" s="9"/>
      <c r="J3281" s="9"/>
      <c r="K3281" s="9"/>
      <c r="L3281" s="9"/>
      <c r="M3281" s="9"/>
      <c r="N3281" s="9"/>
      <c r="O3281" s="9"/>
      <c r="P3281" s="9"/>
      <c r="Q3281" s="9"/>
      <c r="R3281" s="9"/>
      <c r="S3281" s="9"/>
      <c r="T3281" s="9"/>
      <c r="U3281" s="9"/>
      <c r="V3281" s="9"/>
      <c r="W3281" s="9"/>
      <c r="X3281" s="10"/>
    </row>
    <row r="3282" spans="1:24">
      <c r="A3282" s="11" t="s">
        <v>110</v>
      </c>
      <c r="B3282" s="9"/>
      <c r="C3282" s="9"/>
      <c r="D3282" s="9"/>
      <c r="E3282" s="9"/>
      <c r="F3282" s="9"/>
      <c r="G3282" s="9"/>
      <c r="H3282" s="9"/>
      <c r="I3282" s="9"/>
      <c r="J3282" s="9"/>
      <c r="K3282" s="9"/>
      <c r="L3282" s="9"/>
      <c r="M3282" s="9"/>
      <c r="N3282" s="9"/>
      <c r="O3282" s="9"/>
      <c r="P3282" s="9"/>
      <c r="Q3282" s="9"/>
      <c r="R3282" s="9"/>
      <c r="S3282" s="9"/>
      <c r="T3282" s="9"/>
      <c r="U3282" s="9"/>
      <c r="V3282" s="9"/>
      <c r="W3282" s="9"/>
      <c r="X3282" s="10"/>
    </row>
    <row r="3283" spans="1:24">
      <c r="A3283" s="11" t="s">
        <v>1647</v>
      </c>
      <c r="B3283" s="7">
        <f>$B$2996</f>
        <v>0</v>
      </c>
      <c r="C3283" s="7">
        <f>$C$2996</f>
        <v>5.1304994057376152E-2</v>
      </c>
      <c r="D3283" s="7">
        <f>$D$2996</f>
        <v>4.5315475664052035E-3</v>
      </c>
      <c r="E3283" s="7">
        <f>$E$2996</f>
        <v>9.981506968293332E-3</v>
      </c>
      <c r="F3283" s="7">
        <f>$F$2996</f>
        <v>2.1709603909277277E-3</v>
      </c>
      <c r="G3283" s="7">
        <f>$G$2996</f>
        <v>9.4178061867100529E-4</v>
      </c>
      <c r="H3283" s="7">
        <f>$H$2996</f>
        <v>1.0472137761965561E-2</v>
      </c>
      <c r="I3283" s="7">
        <f>$I$2996</f>
        <v>8.0914335904553269E-4</v>
      </c>
      <c r="J3283" s="7">
        <f>$J$2996</f>
        <v>0</v>
      </c>
      <c r="K3283" s="9"/>
      <c r="L3283" s="9"/>
      <c r="M3283" s="7">
        <f>$K$2996</f>
        <v>1.5170601543825545E-3</v>
      </c>
      <c r="N3283" s="7">
        <f>$L$2996</f>
        <v>2.6954085684658072E-2</v>
      </c>
      <c r="O3283" s="7">
        <f>$M$2996</f>
        <v>2.3807374629532569E-3</v>
      </c>
      <c r="P3283" s="7">
        <f>$N$2996</f>
        <v>5.2439806110202592E-3</v>
      </c>
      <c r="Q3283" s="7">
        <f>$O$2996</f>
        <v>4.5622266190791516E-3</v>
      </c>
      <c r="R3283" s="7">
        <f>$P$2996</f>
        <v>1.9791317362531872E-3</v>
      </c>
      <c r="S3283" s="7">
        <f>$Q$2996</f>
        <v>2.2006972515922679E-2</v>
      </c>
      <c r="T3283" s="7">
        <f>$R$2996</f>
        <v>8.5019869241168833E-3</v>
      </c>
      <c r="U3283" s="7">
        <f>$S$2996</f>
        <v>0</v>
      </c>
      <c r="V3283" s="9"/>
      <c r="W3283" s="9"/>
      <c r="X3283" s="10"/>
    </row>
    <row r="3284" spans="1:24">
      <c r="A3284" s="11" t="s">
        <v>1646</v>
      </c>
      <c r="B3284" s="7">
        <f>$B$2997</f>
        <v>0</v>
      </c>
      <c r="C3284" s="7">
        <f>$C$2997</f>
        <v>5.1956699442345426E-2</v>
      </c>
      <c r="D3284" s="7">
        <f>$D$2997</f>
        <v>4.5891098759918278E-3</v>
      </c>
      <c r="E3284" s="7">
        <f>$E$2997</f>
        <v>9.8117624207775186E-3</v>
      </c>
      <c r="F3284" s="7">
        <f>$F$2997</f>
        <v>2.1340412473151082E-3</v>
      </c>
      <c r="G3284" s="7">
        <f>$G$2997</f>
        <v>9.5374365486122867E-4</v>
      </c>
      <c r="H3284" s="7">
        <f>$H$2997</f>
        <v>1.029404959435974E-2</v>
      </c>
      <c r="I3284" s="7">
        <f>$I$2997</f>
        <v>7.9538314490222725E-4</v>
      </c>
      <c r="J3284" s="7">
        <f>$J$2997</f>
        <v>0</v>
      </c>
      <c r="K3284" s="9"/>
      <c r="L3284" s="9"/>
      <c r="M3284" s="7">
        <f>$K$2997</f>
        <v>1.5210726777316788E-3</v>
      </c>
      <c r="N3284" s="7">
        <f>$L$2997</f>
        <v>2.7296471900860923E-2</v>
      </c>
      <c r="O3284" s="7">
        <f>$M$2997</f>
        <v>2.4109789521749411E-3</v>
      </c>
      <c r="P3284" s="7">
        <f>$N$2997</f>
        <v>5.1548019810972534E-3</v>
      </c>
      <c r="Q3284" s="7">
        <f>$O$2997</f>
        <v>4.4846418319743437E-3</v>
      </c>
      <c r="R3284" s="7">
        <f>$P$2997</f>
        <v>2.0042717997845721E-3</v>
      </c>
      <c r="S3284" s="7">
        <f>$Q$2997</f>
        <v>2.1632724057871765E-2</v>
      </c>
      <c r="T3284" s="7">
        <f>$R$2997</f>
        <v>8.3574029521771894E-3</v>
      </c>
      <c r="U3284" s="7">
        <f>$S$2997</f>
        <v>0</v>
      </c>
      <c r="V3284" s="9"/>
      <c r="W3284" s="9"/>
      <c r="X3284" s="10"/>
    </row>
    <row r="3285" spans="1:24">
      <c r="A3285" s="11" t="s">
        <v>98</v>
      </c>
      <c r="B3285" s="7">
        <f>$B$2998</f>
        <v>0</v>
      </c>
      <c r="C3285" s="7">
        <f>$C$2998</f>
        <v>4.1793319159349397E-2</v>
      </c>
      <c r="D3285" s="7">
        <f>$D$2998</f>
        <v>3.6914225838667112E-3</v>
      </c>
      <c r="E3285" s="7">
        <f>$E$2998</f>
        <v>8.0785820199713414E-3</v>
      </c>
      <c r="F3285" s="7">
        <f>$F$2998</f>
        <v>1.7570775270637758E-3</v>
      </c>
      <c r="G3285" s="7">
        <f>$G$2998</f>
        <v>7.6717946658738645E-4</v>
      </c>
      <c r="H3285" s="7">
        <f>$H$2998</f>
        <v>6.7805411830669134E-3</v>
      </c>
      <c r="I3285" s="7">
        <f>$I$2998</f>
        <v>0</v>
      </c>
      <c r="J3285" s="7">
        <f>$J$2998</f>
        <v>0</v>
      </c>
      <c r="K3285" s="9"/>
      <c r="L3285" s="9"/>
      <c r="M3285" s="7">
        <f>$K$2998</f>
        <v>1.2609713295260957E-3</v>
      </c>
      <c r="N3285" s="7">
        <f>$L$2998</f>
        <v>2.1956940574002624E-2</v>
      </c>
      <c r="O3285" s="7">
        <f>$M$2998</f>
        <v>1.9393613127126018E-3</v>
      </c>
      <c r="P3285" s="7">
        <f>$N$2998</f>
        <v>4.2442416372434899E-3</v>
      </c>
      <c r="Q3285" s="7">
        <f>$O$2998</f>
        <v>3.6924606728225597E-3</v>
      </c>
      <c r="R3285" s="7">
        <f>$P$2998</f>
        <v>1.6122111664046642E-3</v>
      </c>
      <c r="S3285" s="7">
        <f>$Q$2998</f>
        <v>1.4249161618250884E-2</v>
      </c>
      <c r="T3285" s="7">
        <f>$R$2998</f>
        <v>0</v>
      </c>
      <c r="U3285" s="7">
        <f>$S$2998</f>
        <v>0</v>
      </c>
      <c r="V3285" s="9"/>
      <c r="W3285" s="9"/>
      <c r="X3285" s="10"/>
    </row>
    <row r="3286" spans="1:24">
      <c r="A3286" s="11" t="s">
        <v>99</v>
      </c>
      <c r="B3286" s="7">
        <f>$B$2999</f>
        <v>0</v>
      </c>
      <c r="C3286" s="7">
        <f>$C$2999</f>
        <v>3.7033907453772906E-2</v>
      </c>
      <c r="D3286" s="7">
        <f>$D$2999</f>
        <v>3.2710443940202035E-3</v>
      </c>
      <c r="E3286" s="7">
        <f>$E$2999</f>
        <v>7.1585953186588122E-3</v>
      </c>
      <c r="F3286" s="7">
        <f>$F$2999</f>
        <v>1.5569820209368839E-3</v>
      </c>
      <c r="G3286" s="7">
        <f>$G$2999</f>
        <v>6.7981327967047279E-4</v>
      </c>
      <c r="H3286" s="7">
        <f>$H$2999</f>
        <v>0</v>
      </c>
      <c r="I3286" s="7">
        <f>$I$2999</f>
        <v>0</v>
      </c>
      <c r="J3286" s="7">
        <f>$J$2999</f>
        <v>0</v>
      </c>
      <c r="K3286" s="9"/>
      <c r="L3286" s="9"/>
      <c r="M3286" s="7">
        <f>$K$2999</f>
        <v>1.1173722608983938E-3</v>
      </c>
      <c r="N3286" s="7">
        <f>$L$2999</f>
        <v>1.945649021283101E-2</v>
      </c>
      <c r="O3286" s="7">
        <f>$M$2999</f>
        <v>1.7185073791479183E-3</v>
      </c>
      <c r="P3286" s="7">
        <f>$N$2999</f>
        <v>3.7609085654534014E-3</v>
      </c>
      <c r="Q3286" s="7">
        <f>$O$2999</f>
        <v>3.2719642656909142E-3</v>
      </c>
      <c r="R3286" s="7">
        <f>$P$2999</f>
        <v>1.4286130016360025E-3</v>
      </c>
      <c r="S3286" s="7">
        <f>$Q$2999</f>
        <v>0</v>
      </c>
      <c r="T3286" s="7">
        <f>$R$2999</f>
        <v>0</v>
      </c>
      <c r="U3286" s="7">
        <f>$S$2999</f>
        <v>0</v>
      </c>
      <c r="V3286" s="9"/>
      <c r="W3286" s="9"/>
      <c r="X3286" s="10"/>
    </row>
    <row r="3287" spans="1:24">
      <c r="A3287" s="11" t="s">
        <v>111</v>
      </c>
      <c r="B3287" s="7">
        <f>$B$3000</f>
        <v>0</v>
      </c>
      <c r="C3287" s="7">
        <f>$C$3000</f>
        <v>3.5412009971796325E-2</v>
      </c>
      <c r="D3287" s="7">
        <f>$D$3000</f>
        <v>2.1295586213809061E-3</v>
      </c>
      <c r="E3287" s="7">
        <f>$E$3000</f>
        <v>3.7283867881941603E-3</v>
      </c>
      <c r="F3287" s="7">
        <f>$F$3000</f>
        <v>0</v>
      </c>
      <c r="G3287" s="7">
        <f>$G$3000</f>
        <v>0</v>
      </c>
      <c r="H3287" s="7">
        <f>$H$3000</f>
        <v>0</v>
      </c>
      <c r="I3287" s="7">
        <f>$I$3000</f>
        <v>0</v>
      </c>
      <c r="J3287" s="7">
        <f>$J$3000</f>
        <v>0</v>
      </c>
      <c r="K3287" s="9"/>
      <c r="L3287" s="9"/>
      <c r="M3287" s="7">
        <f>$K$3000</f>
        <v>1.1366351255418371E-3</v>
      </c>
      <c r="N3287" s="7">
        <f>$L$3000</f>
        <v>1.8604394534737025E-2</v>
      </c>
      <c r="O3287" s="7">
        <f>$M$3000</f>
        <v>1.748133472609975E-3</v>
      </c>
      <c r="P3287" s="7">
        <f>$N$3000</f>
        <v>3.0605955984684815E-3</v>
      </c>
      <c r="Q3287" s="7">
        <f>$O$3000</f>
        <v>0</v>
      </c>
      <c r="R3287" s="7">
        <f>$P$3000</f>
        <v>0</v>
      </c>
      <c r="S3287" s="7">
        <f>$Q$3000</f>
        <v>0</v>
      </c>
      <c r="T3287" s="7">
        <f>$R$3000</f>
        <v>0</v>
      </c>
      <c r="U3287" s="7">
        <f>$S$3000</f>
        <v>0</v>
      </c>
      <c r="V3287" s="9"/>
      <c r="W3287" s="9"/>
      <c r="X3287" s="10"/>
    </row>
    <row r="3288" spans="1:24">
      <c r="A3288" s="11" t="s">
        <v>131</v>
      </c>
      <c r="B3288" s="9"/>
      <c r="C3288" s="9"/>
      <c r="D3288" s="9"/>
      <c r="E3288" s="9"/>
      <c r="F3288" s="9"/>
      <c r="G3288" s="9"/>
      <c r="H3288" s="9"/>
      <c r="I3288" s="9"/>
      <c r="J3288" s="9"/>
      <c r="K3288" s="9"/>
      <c r="L3288" s="9"/>
      <c r="M3288" s="9"/>
      <c r="N3288" s="9"/>
      <c r="O3288" s="9"/>
      <c r="P3288" s="9"/>
      <c r="Q3288" s="9"/>
      <c r="R3288" s="9"/>
      <c r="S3288" s="9"/>
      <c r="T3288" s="9"/>
      <c r="U3288" s="9"/>
      <c r="V3288" s="9"/>
      <c r="W3288" s="9"/>
      <c r="X3288" s="10"/>
    </row>
    <row r="3289" spans="1:24">
      <c r="A3289" s="11" t="s">
        <v>132</v>
      </c>
      <c r="B3289" s="9"/>
      <c r="C3289" s="9"/>
      <c r="D3289" s="9"/>
      <c r="E3289" s="9"/>
      <c r="F3289" s="9"/>
      <c r="G3289" s="9"/>
      <c r="H3289" s="9"/>
      <c r="I3289" s="9"/>
      <c r="J3289" s="9"/>
      <c r="K3289" s="9"/>
      <c r="L3289" s="9"/>
      <c r="M3289" s="9"/>
      <c r="N3289" s="9"/>
      <c r="O3289" s="9"/>
      <c r="P3289" s="9"/>
      <c r="Q3289" s="9"/>
      <c r="R3289" s="9"/>
      <c r="S3289" s="9"/>
      <c r="T3289" s="9"/>
      <c r="U3289" s="9"/>
      <c r="V3289" s="9"/>
      <c r="W3289" s="9"/>
      <c r="X3289" s="10"/>
    </row>
    <row r="3290" spans="1:24">
      <c r="A3290" s="11" t="s">
        <v>133</v>
      </c>
      <c r="B3290" s="9"/>
      <c r="C3290" s="9"/>
      <c r="D3290" s="9"/>
      <c r="E3290" s="9"/>
      <c r="F3290" s="9"/>
      <c r="G3290" s="9"/>
      <c r="H3290" s="9"/>
      <c r="I3290" s="9"/>
      <c r="J3290" s="9"/>
      <c r="K3290" s="9"/>
      <c r="L3290" s="9"/>
      <c r="M3290" s="9"/>
      <c r="N3290" s="9"/>
      <c r="O3290" s="9"/>
      <c r="P3290" s="9"/>
      <c r="Q3290" s="9"/>
      <c r="R3290" s="9"/>
      <c r="S3290" s="9"/>
      <c r="T3290" s="9"/>
      <c r="U3290" s="9"/>
      <c r="V3290" s="9"/>
      <c r="W3290" s="9"/>
      <c r="X3290" s="10"/>
    </row>
    <row r="3291" spans="1:24">
      <c r="A3291" s="11" t="s">
        <v>134</v>
      </c>
      <c r="B3291" s="9"/>
      <c r="C3291" s="9"/>
      <c r="D3291" s="9"/>
      <c r="E3291" s="9"/>
      <c r="F3291" s="9"/>
      <c r="G3291" s="9"/>
      <c r="H3291" s="9"/>
      <c r="I3291" s="9"/>
      <c r="J3291" s="9"/>
      <c r="K3291" s="9"/>
      <c r="L3291" s="9"/>
      <c r="M3291" s="9"/>
      <c r="N3291" s="9"/>
      <c r="O3291" s="9"/>
      <c r="P3291" s="9"/>
      <c r="Q3291" s="9"/>
      <c r="R3291" s="9"/>
      <c r="S3291" s="9"/>
      <c r="T3291" s="9"/>
      <c r="U3291" s="9"/>
      <c r="V3291" s="9"/>
      <c r="W3291" s="9"/>
      <c r="X3291" s="10"/>
    </row>
    <row r="3292" spans="1:24">
      <c r="A3292" s="11" t="s">
        <v>135</v>
      </c>
      <c r="B3292" s="7">
        <f>$B$2867</f>
        <v>0</v>
      </c>
      <c r="C3292" s="7">
        <f>$C$2867</f>
        <v>3.7104365118876936E-2</v>
      </c>
      <c r="D3292" s="7">
        <f>$D$2867</f>
        <v>3.2772676139367625E-3</v>
      </c>
      <c r="E3292" s="7">
        <f>$E$2867</f>
        <v>7.1722146730898032E-3</v>
      </c>
      <c r="F3292" s="7">
        <f>$F$2867</f>
        <v>1.5599442068185954E-3</v>
      </c>
      <c r="G3292" s="7">
        <f>$G$2867</f>
        <v>6.8110663648009617E-4</v>
      </c>
      <c r="H3292" s="7">
        <f>$H$2867</f>
        <v>7.5247575695305529E-3</v>
      </c>
      <c r="I3292" s="7">
        <f>$I$2867</f>
        <v>5.8141019094753109E-4</v>
      </c>
      <c r="J3292" s="7">
        <f>$J$2867</f>
        <v>1.1974413829779289E-3</v>
      </c>
      <c r="K3292" s="9"/>
      <c r="L3292" s="9"/>
      <c r="M3292" s="7">
        <f>$K$2867</f>
        <v>1.1194980814225497E-3</v>
      </c>
      <c r="N3292" s="7">
        <f>$L$2867</f>
        <v>1.9493506530194413E-2</v>
      </c>
      <c r="O3292" s="7">
        <f>$M$2867</f>
        <v>1.7217768698855607E-3</v>
      </c>
      <c r="P3292" s="7">
        <f>$N$2867</f>
        <v>3.7680637606356112E-3</v>
      </c>
      <c r="Q3292" s="7">
        <f>$O$2867</f>
        <v>3.2781892356796251E-3</v>
      </c>
      <c r="R3292" s="7">
        <f>$P$2867</f>
        <v>1.431330963184029E-3</v>
      </c>
      <c r="S3292" s="7">
        <f>$Q$2867</f>
        <v>1.5813116365130622E-2</v>
      </c>
      <c r="T3292" s="7">
        <f>$R$2867</f>
        <v>6.1091051242330554E-3</v>
      </c>
      <c r="U3292" s="7">
        <f>$S$2867</f>
        <v>1.2581986698233414E-2</v>
      </c>
      <c r="V3292" s="7">
        <f>$B$2621</f>
        <v>0.8410505145630508</v>
      </c>
      <c r="W3292" s="9"/>
      <c r="X3292" s="10"/>
    </row>
    <row r="3293" spans="1:24">
      <c r="A3293" s="11" t="s">
        <v>1645</v>
      </c>
      <c r="B3293" s="9"/>
      <c r="C3293" s="9"/>
      <c r="D3293" s="9"/>
      <c r="E3293" s="9"/>
      <c r="F3293" s="9"/>
      <c r="G3293" s="9"/>
      <c r="H3293" s="9"/>
      <c r="I3293" s="9"/>
      <c r="J3293" s="9"/>
      <c r="K3293" s="9"/>
      <c r="L3293" s="9"/>
      <c r="M3293" s="9"/>
      <c r="N3293" s="9"/>
      <c r="O3293" s="9"/>
      <c r="P3293" s="9"/>
      <c r="Q3293" s="9"/>
      <c r="R3293" s="9"/>
      <c r="S3293" s="9"/>
      <c r="T3293" s="9"/>
      <c r="U3293" s="9"/>
      <c r="V3293" s="9"/>
      <c r="W3293" s="9"/>
      <c r="X3293" s="10"/>
    </row>
    <row r="3294" spans="1:24">
      <c r="A3294" s="11" t="s">
        <v>100</v>
      </c>
      <c r="B3294" s="9"/>
      <c r="C3294" s="9"/>
      <c r="D3294" s="9"/>
      <c r="E3294" s="9"/>
      <c r="F3294" s="9"/>
      <c r="G3294" s="9"/>
      <c r="H3294" s="9"/>
      <c r="I3294" s="9"/>
      <c r="J3294" s="9"/>
      <c r="K3294" s="9"/>
      <c r="L3294" s="9"/>
      <c r="M3294" s="9"/>
      <c r="N3294" s="9"/>
      <c r="O3294" s="9"/>
      <c r="P3294" s="9"/>
      <c r="Q3294" s="9"/>
      <c r="R3294" s="9"/>
      <c r="S3294" s="9"/>
      <c r="T3294" s="9"/>
      <c r="U3294" s="9"/>
      <c r="V3294" s="9"/>
      <c r="W3294" s="9"/>
      <c r="X3294" s="10"/>
    </row>
    <row r="3295" spans="1:24">
      <c r="A3295" s="11" t="s">
        <v>101</v>
      </c>
      <c r="B3295" s="9"/>
      <c r="C3295" s="9"/>
      <c r="D3295" s="9"/>
      <c r="E3295" s="9"/>
      <c r="F3295" s="9"/>
      <c r="G3295" s="9"/>
      <c r="H3295" s="9"/>
      <c r="I3295" s="9"/>
      <c r="J3295" s="9"/>
      <c r="K3295" s="9"/>
      <c r="L3295" s="9"/>
      <c r="M3295" s="9"/>
      <c r="N3295" s="9"/>
      <c r="O3295" s="9"/>
      <c r="P3295" s="9"/>
      <c r="Q3295" s="9"/>
      <c r="R3295" s="9"/>
      <c r="S3295" s="9"/>
      <c r="T3295" s="9"/>
      <c r="U3295" s="9"/>
      <c r="V3295" s="9"/>
      <c r="W3295" s="9"/>
      <c r="X3295" s="10"/>
    </row>
    <row r="3296" spans="1:24">
      <c r="A3296" s="11" t="s">
        <v>102</v>
      </c>
      <c r="B3296" s="7">
        <f>$B$2868</f>
        <v>0</v>
      </c>
      <c r="C3296" s="7">
        <f>$C$2868</f>
        <v>-3.5849303631569136E-2</v>
      </c>
      <c r="D3296" s="7">
        <f>$D$2868</f>
        <v>-3.1664134771613403E-3</v>
      </c>
      <c r="E3296" s="7">
        <f>$E$2868</f>
        <v>-6.9296132868092615E-3</v>
      </c>
      <c r="F3296" s="7">
        <f>$F$2868</f>
        <v>-1.5071788275955753E-3</v>
      </c>
      <c r="G3296" s="7">
        <f>$G$2868</f>
        <v>-6.5806808817298534E-4</v>
      </c>
      <c r="H3296" s="7">
        <f>$H$2868</f>
        <v>-7.2702313595660829E-3</v>
      </c>
      <c r="I3296" s="7">
        <f>$I$2868</f>
        <v>-5.6174389193800356E-4</v>
      </c>
      <c r="J3296" s="7">
        <f>$J$2868</f>
        <v>0</v>
      </c>
      <c r="K3296" s="9"/>
      <c r="L3296" s="9"/>
      <c r="M3296" s="7">
        <f>$K$2868</f>
        <v>-1.0816308676161179E-3</v>
      </c>
      <c r="N3296" s="7">
        <f>$L$2868</f>
        <v>-1.8834135342458244E-2</v>
      </c>
      <c r="O3296" s="7">
        <f>$M$2868</f>
        <v>-1.6635374731944323E-3</v>
      </c>
      <c r="P3296" s="7">
        <f>$N$2868</f>
        <v>-3.6406083603736086E-3</v>
      </c>
      <c r="Q3296" s="7">
        <f>$O$2868</f>
        <v>-3.1673039248913447E-3</v>
      </c>
      <c r="R3296" s="7">
        <f>$P$2868</f>
        <v>-1.3829159488931762E-3</v>
      </c>
      <c r="S3296" s="7">
        <f>$Q$2868</f>
        <v>-1.5278235003312218E-2</v>
      </c>
      <c r="T3296" s="7">
        <f>$R$2868</f>
        <v>-5.902463600014147E-3</v>
      </c>
      <c r="U3296" s="7">
        <f>$S$2868</f>
        <v>0</v>
      </c>
      <c r="V3296" s="9"/>
      <c r="W3296" s="9"/>
      <c r="X3296" s="10"/>
    </row>
    <row r="3297" spans="1:24">
      <c r="A3297" s="11" t="s">
        <v>103</v>
      </c>
      <c r="B3297" s="9"/>
      <c r="C3297" s="9"/>
      <c r="D3297" s="9"/>
      <c r="E3297" s="9"/>
      <c r="F3297" s="9"/>
      <c r="G3297" s="9"/>
      <c r="H3297" s="9"/>
      <c r="I3297" s="9"/>
      <c r="J3297" s="9"/>
      <c r="K3297" s="9"/>
      <c r="L3297" s="9"/>
      <c r="M3297" s="9"/>
      <c r="N3297" s="9"/>
      <c r="O3297" s="9"/>
      <c r="P3297" s="9"/>
      <c r="Q3297" s="9"/>
      <c r="R3297" s="9"/>
      <c r="S3297" s="9"/>
      <c r="T3297" s="9"/>
      <c r="U3297" s="9"/>
      <c r="V3297" s="9"/>
      <c r="W3297" s="9"/>
      <c r="X3297" s="10"/>
    </row>
    <row r="3298" spans="1:24">
      <c r="A3298" s="11" t="s">
        <v>104</v>
      </c>
      <c r="B3298" s="7">
        <f>$B$2869</f>
        <v>0</v>
      </c>
      <c r="C3298" s="7">
        <f>$C$2869</f>
        <v>-3.5155446141925874E-2</v>
      </c>
      <c r="D3298" s="7">
        <f>$D$2869</f>
        <v>-3.1051280550227346E-3</v>
      </c>
      <c r="E3298" s="7">
        <f>$E$2869</f>
        <v>-6.795491739322629E-3</v>
      </c>
      <c r="F3298" s="7">
        <f>$F$2869</f>
        <v>-1.4780076244808229E-3</v>
      </c>
      <c r="G3298" s="7">
        <f>$G$2869</f>
        <v>-6.4533128646641143E-4</v>
      </c>
      <c r="H3298" s="7">
        <f>$H$2869</f>
        <v>-7.1295172042196413E-3</v>
      </c>
      <c r="I3298" s="7">
        <f>$I$2869</f>
        <v>0</v>
      </c>
      <c r="J3298" s="7">
        <f>$J$2869</f>
        <v>0</v>
      </c>
      <c r="K3298" s="9"/>
      <c r="L3298" s="9"/>
      <c r="M3298" s="7">
        <f>$K$2869</f>
        <v>-1.0606960766299995E-3</v>
      </c>
      <c r="N3298" s="7">
        <f>$L$2869</f>
        <v>-1.8469603690668735E-2</v>
      </c>
      <c r="O3298" s="7">
        <f>$M$2869</f>
        <v>-1.6313399737132499E-3</v>
      </c>
      <c r="P3298" s="7">
        <f>$N$2869</f>
        <v>-3.570144972753474E-3</v>
      </c>
      <c r="Q3298" s="7">
        <f>$O$2869</f>
        <v>-3.1060012682805459E-3</v>
      </c>
      <c r="R3298" s="7">
        <f>$P$2869</f>
        <v>-1.3561498337533084E-3</v>
      </c>
      <c r="S3298" s="7">
        <f>$Q$2869</f>
        <v>-1.4982527229054561E-2</v>
      </c>
      <c r="T3298" s="7">
        <f>$R$2869</f>
        <v>0</v>
      </c>
      <c r="U3298" s="7">
        <f>$S$2869</f>
        <v>0</v>
      </c>
      <c r="V3298" s="9"/>
      <c r="W3298" s="9"/>
      <c r="X3298" s="10"/>
    </row>
    <row r="3299" spans="1:24">
      <c r="A3299" s="11" t="s">
        <v>112</v>
      </c>
      <c r="B3299" s="9"/>
      <c r="C3299" s="9"/>
      <c r="D3299" s="9"/>
      <c r="E3299" s="9"/>
      <c r="F3299" s="9"/>
      <c r="G3299" s="9"/>
      <c r="H3299" s="9"/>
      <c r="I3299" s="9"/>
      <c r="J3299" s="9"/>
      <c r="K3299" s="9"/>
      <c r="L3299" s="9"/>
      <c r="M3299" s="9"/>
      <c r="N3299" s="9"/>
      <c r="O3299" s="9"/>
      <c r="P3299" s="9"/>
      <c r="Q3299" s="9"/>
      <c r="R3299" s="9"/>
      <c r="S3299" s="9"/>
      <c r="T3299" s="9"/>
      <c r="U3299" s="9"/>
      <c r="V3299" s="9"/>
      <c r="W3299" s="9"/>
      <c r="X3299" s="10"/>
    </row>
    <row r="3300" spans="1:24">
      <c r="A3300" s="11" t="s">
        <v>113</v>
      </c>
      <c r="B3300" s="7">
        <f>$B$2870</f>
        <v>0</v>
      </c>
      <c r="C3300" s="7">
        <f>$C$2870</f>
        <v>-3.4491325401838739E-2</v>
      </c>
      <c r="D3300" s="7">
        <f>$D$2870</f>
        <v>-1.9497402566245004E-3</v>
      </c>
      <c r="E3300" s="7">
        <f>$E$2870</f>
        <v>-4.2669556852203867E-3</v>
      </c>
      <c r="F3300" s="7">
        <f>$F$2870</f>
        <v>-5.2203118168269813E-4</v>
      </c>
      <c r="G3300" s="7">
        <f>$G$2870</f>
        <v>-2.2793052516844288E-4</v>
      </c>
      <c r="H3300" s="7">
        <f>$H$2870</f>
        <v>0</v>
      </c>
      <c r="I3300" s="7">
        <f>$I$2870</f>
        <v>0</v>
      </c>
      <c r="J3300" s="7">
        <f>$J$2870</f>
        <v>0</v>
      </c>
      <c r="K3300" s="9"/>
      <c r="L3300" s="9"/>
      <c r="M3300" s="7">
        <f>$K$2870</f>
        <v>-1.0406584909718576E-3</v>
      </c>
      <c r="N3300" s="7">
        <f>$L$2870</f>
        <v>-1.8120694823955917E-2</v>
      </c>
      <c r="O3300" s="7">
        <f>$M$2870</f>
        <v>-1.600522367066975E-3</v>
      </c>
      <c r="P3300" s="7">
        <f>$N$2870</f>
        <v>-3.5027014446027739E-3</v>
      </c>
      <c r="Q3300" s="7">
        <f>$O$2870</f>
        <v>-3.0473258683816366E-3</v>
      </c>
      <c r="R3300" s="7">
        <f>$P$2870</f>
        <v>-1.3305308378337205E-3</v>
      </c>
      <c r="S3300" s="7">
        <f>$Q$2870</f>
        <v>0</v>
      </c>
      <c r="T3300" s="7">
        <f>$R$2870</f>
        <v>0</v>
      </c>
      <c r="U3300" s="7">
        <f>$S$2870</f>
        <v>0</v>
      </c>
      <c r="V3300" s="9"/>
      <c r="W3300" s="9"/>
      <c r="X3300" s="10"/>
    </row>
    <row r="3302" spans="1:24" ht="21" customHeight="1">
      <c r="A3302" s="1" t="s">
        <v>769</v>
      </c>
    </row>
    <row r="3303" spans="1:24">
      <c r="A3303" s="2" t="s">
        <v>255</v>
      </c>
    </row>
    <row r="3304" spans="1:24">
      <c r="A3304" s="12" t="s">
        <v>1665</v>
      </c>
    </row>
    <row r="3305" spans="1:24">
      <c r="A3305" s="12" t="s">
        <v>770</v>
      </c>
    </row>
    <row r="3306" spans="1:24">
      <c r="A3306" s="12" t="s">
        <v>771</v>
      </c>
    </row>
    <row r="3307" spans="1:24">
      <c r="A3307" s="12" t="s">
        <v>772</v>
      </c>
    </row>
    <row r="3308" spans="1:24">
      <c r="A3308" s="12" t="s">
        <v>773</v>
      </c>
    </row>
    <row r="3309" spans="1:24">
      <c r="A3309" s="2" t="s">
        <v>341</v>
      </c>
    </row>
    <row r="3311" spans="1:24" ht="30">
      <c r="B3311" s="3" t="s">
        <v>60</v>
      </c>
      <c r="C3311" s="3" t="s">
        <v>220</v>
      </c>
      <c r="D3311" s="3" t="s">
        <v>221</v>
      </c>
      <c r="E3311" s="3" t="s">
        <v>222</v>
      </c>
      <c r="F3311" s="3" t="s">
        <v>223</v>
      </c>
      <c r="G3311" s="3" t="s">
        <v>224</v>
      </c>
      <c r="H3311" s="3" t="s">
        <v>225</v>
      </c>
      <c r="I3311" s="3" t="s">
        <v>226</v>
      </c>
      <c r="J3311" s="3" t="s">
        <v>227</v>
      </c>
      <c r="K3311" s="3" t="s">
        <v>364</v>
      </c>
      <c r="L3311" s="3" t="s">
        <v>376</v>
      </c>
      <c r="M3311" s="3" t="s">
        <v>208</v>
      </c>
      <c r="N3311" s="3" t="s">
        <v>624</v>
      </c>
      <c r="O3311" s="3" t="s">
        <v>625</v>
      </c>
      <c r="P3311" s="3" t="s">
        <v>626</v>
      </c>
      <c r="Q3311" s="3" t="s">
        <v>627</v>
      </c>
      <c r="R3311" s="3" t="s">
        <v>628</v>
      </c>
      <c r="S3311" s="3" t="s">
        <v>629</v>
      </c>
      <c r="T3311" s="3" t="s">
        <v>630</v>
      </c>
      <c r="U3311" s="3" t="s">
        <v>631</v>
      </c>
      <c r="V3311" s="3" t="s">
        <v>632</v>
      </c>
      <c r="W3311" s="3" t="s">
        <v>633</v>
      </c>
    </row>
    <row r="3312" spans="1:24">
      <c r="A3312" s="11" t="s">
        <v>92</v>
      </c>
      <c r="B3312" s="7">
        <f>$B$3091</f>
        <v>0</v>
      </c>
      <c r="C3312" s="7">
        <f>$C$3091</f>
        <v>0</v>
      </c>
      <c r="D3312" s="7">
        <f>$D$3091</f>
        <v>0</v>
      </c>
      <c r="E3312" s="7">
        <f>$E$3091</f>
        <v>0</v>
      </c>
      <c r="F3312" s="7">
        <f>$F$3091</f>
        <v>0</v>
      </c>
      <c r="G3312" s="7">
        <f>$G$3091</f>
        <v>0</v>
      </c>
      <c r="H3312" s="7">
        <f>$H$3091</f>
        <v>0</v>
      </c>
      <c r="I3312" s="7">
        <f>$I$3091</f>
        <v>0</v>
      </c>
      <c r="J3312" s="7">
        <f>$J$3091</f>
        <v>0.18396825591874003</v>
      </c>
      <c r="K3312" s="7">
        <f>$B$841</f>
        <v>0</v>
      </c>
      <c r="L3312" s="7">
        <f>$C$841</f>
        <v>0</v>
      </c>
      <c r="M3312" s="7">
        <f>$K$3091</f>
        <v>0</v>
      </c>
      <c r="N3312" s="7">
        <f>$L$3091</f>
        <v>0</v>
      </c>
      <c r="O3312" s="7">
        <f>$M$3091</f>
        <v>0</v>
      </c>
      <c r="P3312" s="7">
        <f>$N$3091</f>
        <v>0</v>
      </c>
      <c r="Q3312" s="7">
        <f>$O$3091</f>
        <v>0</v>
      </c>
      <c r="R3312" s="7">
        <f>$P$3091</f>
        <v>0</v>
      </c>
      <c r="S3312" s="7">
        <f>$Q$3091</f>
        <v>0</v>
      </c>
      <c r="T3312" s="7">
        <f>$R$3091</f>
        <v>0</v>
      </c>
      <c r="U3312" s="7">
        <f>$S$3091</f>
        <v>1.9330266865425771</v>
      </c>
      <c r="V3312" s="7">
        <f>$B$2582</f>
        <v>2.5335305905622341</v>
      </c>
      <c r="W3312" s="7">
        <f>$C$2582</f>
        <v>0</v>
      </c>
      <c r="X3312" s="10"/>
    </row>
    <row r="3313" spans="1:24">
      <c r="A3313" s="11" t="s">
        <v>93</v>
      </c>
      <c r="B3313" s="7">
        <f>$B$3092</f>
        <v>0</v>
      </c>
      <c r="C3313" s="7">
        <f>$C$3092</f>
        <v>0</v>
      </c>
      <c r="D3313" s="7">
        <f>$D$3092</f>
        <v>0</v>
      </c>
      <c r="E3313" s="7">
        <f>$E$3092</f>
        <v>0</v>
      </c>
      <c r="F3313" s="7">
        <f>$F$3092</f>
        <v>0</v>
      </c>
      <c r="G3313" s="7">
        <f>$G$3092</f>
        <v>0</v>
      </c>
      <c r="H3313" s="7">
        <f>$H$3092</f>
        <v>0</v>
      </c>
      <c r="I3313" s="7">
        <f>$I$3092</f>
        <v>0</v>
      </c>
      <c r="J3313" s="7">
        <f>$J$3092</f>
        <v>0.18396825591874003</v>
      </c>
      <c r="K3313" s="7">
        <f>$B$842</f>
        <v>0</v>
      </c>
      <c r="L3313" s="7">
        <f>$C$842</f>
        <v>0</v>
      </c>
      <c r="M3313" s="7">
        <f>$K$3092</f>
        <v>0</v>
      </c>
      <c r="N3313" s="7">
        <f>$L$3092</f>
        <v>0</v>
      </c>
      <c r="O3313" s="7">
        <f>$M$3092</f>
        <v>0</v>
      </c>
      <c r="P3313" s="7">
        <f>$N$3092</f>
        <v>0</v>
      </c>
      <c r="Q3313" s="7">
        <f>$O$3092</f>
        <v>0</v>
      </c>
      <c r="R3313" s="7">
        <f>$P$3092</f>
        <v>0</v>
      </c>
      <c r="S3313" s="7">
        <f>$Q$3092</f>
        <v>0</v>
      </c>
      <c r="T3313" s="7">
        <f>$R$3092</f>
        <v>0</v>
      </c>
      <c r="U3313" s="7">
        <f>$S$3092</f>
        <v>1.9330266865425771</v>
      </c>
      <c r="V3313" s="7">
        <f>$B$2583</f>
        <v>2.5335305905622341</v>
      </c>
      <c r="W3313" s="7">
        <f>$C$2583</f>
        <v>0</v>
      </c>
      <c r="X3313" s="10"/>
    </row>
    <row r="3314" spans="1:24">
      <c r="A3314" s="11" t="s">
        <v>129</v>
      </c>
      <c r="B3314" s="9"/>
      <c r="C3314" s="9"/>
      <c r="D3314" s="9"/>
      <c r="E3314" s="9"/>
      <c r="F3314" s="9"/>
      <c r="G3314" s="9"/>
      <c r="H3314" s="9"/>
      <c r="I3314" s="9"/>
      <c r="J3314" s="9"/>
      <c r="K3314" s="9"/>
      <c r="L3314" s="9"/>
      <c r="M3314" s="9"/>
      <c r="N3314" s="9"/>
      <c r="O3314" s="9"/>
      <c r="P3314" s="9"/>
      <c r="Q3314" s="9"/>
      <c r="R3314" s="9"/>
      <c r="S3314" s="9"/>
      <c r="T3314" s="9"/>
      <c r="U3314" s="9"/>
      <c r="V3314" s="9"/>
      <c r="W3314" s="9"/>
      <c r="X3314" s="10"/>
    </row>
    <row r="3315" spans="1:24">
      <c r="A3315" s="11" t="s">
        <v>94</v>
      </c>
      <c r="B3315" s="7">
        <f>$B$3093</f>
        <v>0</v>
      </c>
      <c r="C3315" s="7">
        <f>$C$3093</f>
        <v>0</v>
      </c>
      <c r="D3315" s="7">
        <f>$D$3093</f>
        <v>0</v>
      </c>
      <c r="E3315" s="7">
        <f>$E$3093</f>
        <v>0</v>
      </c>
      <c r="F3315" s="7">
        <f>$F$3093</f>
        <v>0</v>
      </c>
      <c r="G3315" s="7">
        <f>$G$3093</f>
        <v>0</v>
      </c>
      <c r="H3315" s="7">
        <f>$H$3093</f>
        <v>0</v>
      </c>
      <c r="I3315" s="7">
        <f>$I$3093</f>
        <v>0</v>
      </c>
      <c r="J3315" s="7">
        <f>$J$3093</f>
        <v>0.18396825591874003</v>
      </c>
      <c r="K3315" s="7">
        <f>$B$844</f>
        <v>0</v>
      </c>
      <c r="L3315" s="7">
        <f>$C$844</f>
        <v>0</v>
      </c>
      <c r="M3315" s="7">
        <f>$K$3093</f>
        <v>0</v>
      </c>
      <c r="N3315" s="7">
        <f>$L$3093</f>
        <v>0</v>
      </c>
      <c r="O3315" s="7">
        <f>$M$3093</f>
        <v>0</v>
      </c>
      <c r="P3315" s="7">
        <f>$N$3093</f>
        <v>0</v>
      </c>
      <c r="Q3315" s="7">
        <f>$O$3093</f>
        <v>0</v>
      </c>
      <c r="R3315" s="7">
        <f>$P$3093</f>
        <v>0</v>
      </c>
      <c r="S3315" s="7">
        <f>$Q$3093</f>
        <v>0</v>
      </c>
      <c r="T3315" s="7">
        <f>$R$3093</f>
        <v>0</v>
      </c>
      <c r="U3315" s="7">
        <f>$S$3093</f>
        <v>1.9330266865425771</v>
      </c>
      <c r="V3315" s="7">
        <f>$B$2585</f>
        <v>5.6999372295150295</v>
      </c>
      <c r="W3315" s="7">
        <f>$C$2585</f>
        <v>0</v>
      </c>
      <c r="X3315" s="10"/>
    </row>
    <row r="3316" spans="1:24">
      <c r="A3316" s="11" t="s">
        <v>95</v>
      </c>
      <c r="B3316" s="7">
        <f>$B$3094</f>
        <v>0</v>
      </c>
      <c r="C3316" s="7">
        <f>$C$3094</f>
        <v>0</v>
      </c>
      <c r="D3316" s="7">
        <f>$D$3094</f>
        <v>0</v>
      </c>
      <c r="E3316" s="7">
        <f>$E$3094</f>
        <v>0</v>
      </c>
      <c r="F3316" s="7">
        <f>$F$3094</f>
        <v>0</v>
      </c>
      <c r="G3316" s="7">
        <f>$G$3094</f>
        <v>0</v>
      </c>
      <c r="H3316" s="7">
        <f>$H$3094</f>
        <v>0</v>
      </c>
      <c r="I3316" s="7">
        <f>$I$3094</f>
        <v>0</v>
      </c>
      <c r="J3316" s="7">
        <f>$J$3094</f>
        <v>0.18396825591874003</v>
      </c>
      <c r="K3316" s="7">
        <f>$B$845</f>
        <v>0</v>
      </c>
      <c r="L3316" s="7">
        <f>$C$845</f>
        <v>0</v>
      </c>
      <c r="M3316" s="7">
        <f>$K$3094</f>
        <v>0</v>
      </c>
      <c r="N3316" s="7">
        <f>$L$3094</f>
        <v>0</v>
      </c>
      <c r="O3316" s="7">
        <f>$M$3094</f>
        <v>0</v>
      </c>
      <c r="P3316" s="7">
        <f>$N$3094</f>
        <v>0</v>
      </c>
      <c r="Q3316" s="7">
        <f>$O$3094</f>
        <v>0</v>
      </c>
      <c r="R3316" s="7">
        <f>$P$3094</f>
        <v>0</v>
      </c>
      <c r="S3316" s="7">
        <f>$Q$3094</f>
        <v>0</v>
      </c>
      <c r="T3316" s="7">
        <f>$R$3094</f>
        <v>0</v>
      </c>
      <c r="U3316" s="7">
        <f>$S$3094</f>
        <v>1.9330266865425771</v>
      </c>
      <c r="V3316" s="7">
        <f>$B$2586</f>
        <v>5.6999372295150295</v>
      </c>
      <c r="W3316" s="7">
        <f>$C$2586</f>
        <v>0</v>
      </c>
      <c r="X3316" s="10"/>
    </row>
    <row r="3317" spans="1:24">
      <c r="A3317" s="11" t="s">
        <v>130</v>
      </c>
      <c r="B3317" s="9"/>
      <c r="C3317" s="9"/>
      <c r="D3317" s="9"/>
      <c r="E3317" s="9"/>
      <c r="F3317" s="9"/>
      <c r="G3317" s="9"/>
      <c r="H3317" s="9"/>
      <c r="I3317" s="9"/>
      <c r="J3317" s="9"/>
      <c r="K3317" s="9"/>
      <c r="L3317" s="9"/>
      <c r="M3317" s="9"/>
      <c r="N3317" s="9"/>
      <c r="O3317" s="9"/>
      <c r="P3317" s="9"/>
      <c r="Q3317" s="9"/>
      <c r="R3317" s="9"/>
      <c r="S3317" s="9"/>
      <c r="T3317" s="9"/>
      <c r="U3317" s="9"/>
      <c r="V3317" s="9"/>
      <c r="W3317" s="9"/>
      <c r="X3317" s="10"/>
    </row>
    <row r="3318" spans="1:24">
      <c r="A3318" s="11" t="s">
        <v>96</v>
      </c>
      <c r="B3318" s="7">
        <f>$B$3095</f>
        <v>0</v>
      </c>
      <c r="C3318" s="7">
        <f>$C$3095</f>
        <v>0</v>
      </c>
      <c r="D3318" s="7">
        <f>$D$3095</f>
        <v>0</v>
      </c>
      <c r="E3318" s="7">
        <f>$E$3095</f>
        <v>0</v>
      </c>
      <c r="F3318" s="7">
        <f>$F$3095</f>
        <v>0</v>
      </c>
      <c r="G3318" s="7">
        <f>$G$3095</f>
        <v>0</v>
      </c>
      <c r="H3318" s="7">
        <f>$H$3095</f>
        <v>0</v>
      </c>
      <c r="I3318" s="7">
        <f>$I$3095</f>
        <v>0</v>
      </c>
      <c r="J3318" s="7">
        <f>$J$3095</f>
        <v>3.3384167499698485</v>
      </c>
      <c r="K3318" s="7">
        <f>$B$847</f>
        <v>0</v>
      </c>
      <c r="L3318" s="7">
        <f>$C$847</f>
        <v>0</v>
      </c>
      <c r="M3318" s="7">
        <f>$K$3095</f>
        <v>0</v>
      </c>
      <c r="N3318" s="7">
        <f>$L$3095</f>
        <v>0</v>
      </c>
      <c r="O3318" s="7">
        <f>$M$3095</f>
        <v>0</v>
      </c>
      <c r="P3318" s="7">
        <f>$N$3095</f>
        <v>0</v>
      </c>
      <c r="Q3318" s="7">
        <f>$O$3095</f>
        <v>0</v>
      </c>
      <c r="R3318" s="7">
        <f>$P$3095</f>
        <v>0</v>
      </c>
      <c r="S3318" s="7">
        <f>$Q$3095</f>
        <v>0</v>
      </c>
      <c r="T3318" s="7">
        <f>$R$3095</f>
        <v>0</v>
      </c>
      <c r="U3318" s="7">
        <f>$S$3095</f>
        <v>35.078055375721441</v>
      </c>
      <c r="V3318" s="7">
        <f>$B$2588</f>
        <v>6.939632967904525</v>
      </c>
      <c r="W3318" s="7">
        <f>$C$2588</f>
        <v>0</v>
      </c>
      <c r="X3318" s="10"/>
    </row>
    <row r="3319" spans="1:24">
      <c r="A3319" s="11" t="s">
        <v>97</v>
      </c>
      <c r="B3319" s="7">
        <f>$B$3096</f>
        <v>0</v>
      </c>
      <c r="C3319" s="7">
        <f>$C$3096</f>
        <v>0</v>
      </c>
      <c r="D3319" s="7">
        <f>$D$3096</f>
        <v>0</v>
      </c>
      <c r="E3319" s="7">
        <f>$E$3096</f>
        <v>0</v>
      </c>
      <c r="F3319" s="7">
        <f>$F$3096</f>
        <v>0</v>
      </c>
      <c r="G3319" s="7">
        <f>$G$3096</f>
        <v>0</v>
      </c>
      <c r="H3319" s="7">
        <f>$H$3096</f>
        <v>0</v>
      </c>
      <c r="I3319" s="7">
        <f>$I$3096</f>
        <v>2.4006322979842598</v>
      </c>
      <c r="J3319" s="7">
        <f>$J$3096</f>
        <v>0</v>
      </c>
      <c r="K3319" s="7">
        <f>$B$848</f>
        <v>0</v>
      </c>
      <c r="L3319" s="7">
        <f>$C$848</f>
        <v>0</v>
      </c>
      <c r="M3319" s="7">
        <f>$K$3096</f>
        <v>0</v>
      </c>
      <c r="N3319" s="7">
        <f>$L$3096</f>
        <v>0</v>
      </c>
      <c r="O3319" s="7">
        <f>$M$3096</f>
        <v>0</v>
      </c>
      <c r="P3319" s="7">
        <f>$N$3096</f>
        <v>0</v>
      </c>
      <c r="Q3319" s="7">
        <f>$O$3096</f>
        <v>0</v>
      </c>
      <c r="R3319" s="7">
        <f>$P$3096</f>
        <v>0</v>
      </c>
      <c r="S3319" s="7">
        <f>$Q$3096</f>
        <v>0</v>
      </c>
      <c r="T3319" s="7">
        <f>$R$3096</f>
        <v>25.224385986620092</v>
      </c>
      <c r="U3319" s="7">
        <f>$S$3096</f>
        <v>0</v>
      </c>
      <c r="V3319" s="7">
        <f>$B$2589</f>
        <v>5.146570375629584</v>
      </c>
      <c r="W3319" s="7">
        <f>$C$2589</f>
        <v>0</v>
      </c>
      <c r="X3319" s="10"/>
    </row>
    <row r="3320" spans="1:24">
      <c r="A3320" s="11" t="s">
        <v>110</v>
      </c>
      <c r="B3320" s="7">
        <f>$B$3097</f>
        <v>0</v>
      </c>
      <c r="C3320" s="7">
        <f>$C$3097</f>
        <v>6.2670154835876462</v>
      </c>
      <c r="D3320" s="7">
        <f>$D$3097</f>
        <v>0</v>
      </c>
      <c r="E3320" s="7">
        <f>$E$3097</f>
        <v>3.1884525092168183</v>
      </c>
      <c r="F3320" s="7">
        <f>$F$3097</f>
        <v>1.9504205737253284</v>
      </c>
      <c r="G3320" s="7">
        <f>$G$3097</f>
        <v>0.69024318132695128</v>
      </c>
      <c r="H3320" s="7">
        <f>$H$3097</f>
        <v>6.8673811040483761</v>
      </c>
      <c r="I3320" s="7">
        <f>$I$3097</f>
        <v>0</v>
      </c>
      <c r="J3320" s="7">
        <f>$J$3097</f>
        <v>0</v>
      </c>
      <c r="K3320" s="7">
        <f>$B$849</f>
        <v>0</v>
      </c>
      <c r="L3320" s="7">
        <f>$C$849</f>
        <v>0</v>
      </c>
      <c r="M3320" s="7">
        <f>$K$3097</f>
        <v>0</v>
      </c>
      <c r="N3320" s="7">
        <f>$L$3097</f>
        <v>3.2924995984365446</v>
      </c>
      <c r="O3320" s="7">
        <f>$M$3097</f>
        <v>0</v>
      </c>
      <c r="P3320" s="7">
        <f>$N$3097</f>
        <v>2.6173689238828497</v>
      </c>
      <c r="Q3320" s="7">
        <f>$O$3097</f>
        <v>11.385463698506758</v>
      </c>
      <c r="R3320" s="7">
        <f>$P$3097</f>
        <v>4.0292533774546522</v>
      </c>
      <c r="S3320" s="7">
        <f>$Q$3097</f>
        <v>40.087927351285757</v>
      </c>
      <c r="T3320" s="7">
        <f>$R$3097</f>
        <v>0</v>
      </c>
      <c r="U3320" s="7">
        <f>$S$3097</f>
        <v>0</v>
      </c>
      <c r="V3320" s="7">
        <f>$B$2590</f>
        <v>0</v>
      </c>
      <c r="W3320" s="7">
        <f>$C$2590</f>
        <v>89.399118103702705</v>
      </c>
      <c r="X3320" s="10"/>
    </row>
    <row r="3321" spans="1:24">
      <c r="A3321" s="11" t="s">
        <v>1647</v>
      </c>
      <c r="B3321" s="7">
        <f>$B$3098</f>
        <v>0</v>
      </c>
      <c r="C3321" s="7">
        <f>$C$3098</f>
        <v>0</v>
      </c>
      <c r="D3321" s="7">
        <f>$D$3098</f>
        <v>0</v>
      </c>
      <c r="E3321" s="7">
        <f>$E$3098</f>
        <v>0</v>
      </c>
      <c r="F3321" s="7">
        <f>$F$3098</f>
        <v>0</v>
      </c>
      <c r="G3321" s="7">
        <f>$G$3098</f>
        <v>0</v>
      </c>
      <c r="H3321" s="7">
        <f>$H$3098</f>
        <v>0</v>
      </c>
      <c r="I3321" s="7">
        <f>$I$3098</f>
        <v>0</v>
      </c>
      <c r="J3321" s="7">
        <f>$J$3098</f>
        <v>0.18396825591874003</v>
      </c>
      <c r="K3321" s="7">
        <f>$B$850</f>
        <v>0</v>
      </c>
      <c r="L3321" s="7">
        <f>$C$850</f>
        <v>0</v>
      </c>
      <c r="M3321" s="7">
        <f>$K$3098</f>
        <v>0</v>
      </c>
      <c r="N3321" s="7">
        <f>$L$3098</f>
        <v>0</v>
      </c>
      <c r="O3321" s="7">
        <f>$M$3098</f>
        <v>0</v>
      </c>
      <c r="P3321" s="7">
        <f>$N$3098</f>
        <v>0</v>
      </c>
      <c r="Q3321" s="7">
        <f>$O$3098</f>
        <v>0</v>
      </c>
      <c r="R3321" s="7">
        <f>$P$3098</f>
        <v>0</v>
      </c>
      <c r="S3321" s="7">
        <f>$Q$3098</f>
        <v>0</v>
      </c>
      <c r="T3321" s="7">
        <f>$R$3098</f>
        <v>0</v>
      </c>
      <c r="U3321" s="7">
        <f>$S$3098</f>
        <v>1.9330266865425771</v>
      </c>
      <c r="V3321" s="7">
        <f>$B$2591</f>
        <v>2.5335305905622341</v>
      </c>
      <c r="W3321" s="7">
        <f>$C$2591</f>
        <v>0</v>
      </c>
      <c r="X3321" s="10"/>
    </row>
    <row r="3322" spans="1:24">
      <c r="A3322" s="11" t="s">
        <v>1646</v>
      </c>
      <c r="B3322" s="7">
        <f>$B$3099</f>
        <v>0</v>
      </c>
      <c r="C3322" s="7">
        <f>$C$3099</f>
        <v>0</v>
      </c>
      <c r="D3322" s="7">
        <f>$D$3099</f>
        <v>0</v>
      </c>
      <c r="E3322" s="7">
        <f>$E$3099</f>
        <v>0</v>
      </c>
      <c r="F3322" s="7">
        <f>$F$3099</f>
        <v>0</v>
      </c>
      <c r="G3322" s="7">
        <f>$G$3099</f>
        <v>0</v>
      </c>
      <c r="H3322" s="7">
        <f>$H$3099</f>
        <v>0</v>
      </c>
      <c r="I3322" s="7">
        <f>$I$3099</f>
        <v>0</v>
      </c>
      <c r="J3322" s="7">
        <f>$J$3099</f>
        <v>0.18396825591874003</v>
      </c>
      <c r="K3322" s="7">
        <f>$B$851</f>
        <v>0</v>
      </c>
      <c r="L3322" s="7">
        <f>$C$851</f>
        <v>0</v>
      </c>
      <c r="M3322" s="7">
        <f>$K$3099</f>
        <v>0</v>
      </c>
      <c r="N3322" s="7">
        <f>$L$3099</f>
        <v>0</v>
      </c>
      <c r="O3322" s="7">
        <f>$M$3099</f>
        <v>0</v>
      </c>
      <c r="P3322" s="7">
        <f>$N$3099</f>
        <v>0</v>
      </c>
      <c r="Q3322" s="7">
        <f>$O$3099</f>
        <v>0</v>
      </c>
      <c r="R3322" s="7">
        <f>$P$3099</f>
        <v>0</v>
      </c>
      <c r="S3322" s="7">
        <f>$Q$3099</f>
        <v>0</v>
      </c>
      <c r="T3322" s="7">
        <f>$R$3099</f>
        <v>0</v>
      </c>
      <c r="U3322" s="7">
        <f>$S$3099</f>
        <v>1.9330266865425771</v>
      </c>
      <c r="V3322" s="7">
        <f>$B$2592</f>
        <v>5.6999372295150295</v>
      </c>
      <c r="W3322" s="7">
        <f>$C$2592</f>
        <v>0</v>
      </c>
      <c r="X3322" s="10"/>
    </row>
    <row r="3323" spans="1:24">
      <c r="A3323" s="11" t="s">
        <v>98</v>
      </c>
      <c r="B3323" s="9"/>
      <c r="C3323" s="9"/>
      <c r="D3323" s="9"/>
      <c r="E3323" s="9"/>
      <c r="F3323" s="9"/>
      <c r="G3323" s="9"/>
      <c r="H3323" s="9"/>
      <c r="I3323" s="9"/>
      <c r="J3323" s="9"/>
      <c r="K3323" s="7">
        <f>$B$852</f>
        <v>0</v>
      </c>
      <c r="L3323" s="7">
        <f>$C$852</f>
        <v>0</v>
      </c>
      <c r="M3323" s="9"/>
      <c r="N3323" s="9"/>
      <c r="O3323" s="9"/>
      <c r="P3323" s="9"/>
      <c r="Q3323" s="9"/>
      <c r="R3323" s="9"/>
      <c r="S3323" s="9"/>
      <c r="T3323" s="9"/>
      <c r="U3323" s="9"/>
      <c r="V3323" s="7">
        <f>$B$2593</f>
        <v>11.699299796364846</v>
      </c>
      <c r="W3323" s="7">
        <f>$C$2593</f>
        <v>0</v>
      </c>
      <c r="X3323" s="10"/>
    </row>
    <row r="3324" spans="1:24">
      <c r="A3324" s="11" t="s">
        <v>99</v>
      </c>
      <c r="B3324" s="9"/>
      <c r="C3324" s="9"/>
      <c r="D3324" s="9"/>
      <c r="E3324" s="9"/>
      <c r="F3324" s="9"/>
      <c r="G3324" s="9"/>
      <c r="H3324" s="9"/>
      <c r="I3324" s="9"/>
      <c r="J3324" s="9"/>
      <c r="K3324" s="7">
        <f>$B$853</f>
        <v>0</v>
      </c>
      <c r="L3324" s="7">
        <f>$C$853</f>
        <v>0</v>
      </c>
      <c r="M3324" s="9"/>
      <c r="N3324" s="9"/>
      <c r="O3324" s="9"/>
      <c r="P3324" s="9"/>
      <c r="Q3324" s="9"/>
      <c r="R3324" s="9"/>
      <c r="S3324" s="9"/>
      <c r="T3324" s="9"/>
      <c r="U3324" s="9"/>
      <c r="V3324" s="7">
        <f>$B$2594</f>
        <v>9.0109538407300178</v>
      </c>
      <c r="W3324" s="7">
        <f>$C$2594</f>
        <v>0</v>
      </c>
      <c r="X3324" s="10"/>
    </row>
    <row r="3325" spans="1:24">
      <c r="A3325" s="11" t="s">
        <v>111</v>
      </c>
      <c r="B3325" s="9"/>
      <c r="C3325" s="9"/>
      <c r="D3325" s="9"/>
      <c r="E3325" s="9"/>
      <c r="F3325" s="9"/>
      <c r="G3325" s="9"/>
      <c r="H3325" s="9"/>
      <c r="I3325" s="9"/>
      <c r="J3325" s="9"/>
      <c r="K3325" s="7">
        <f>$B$854</f>
        <v>0</v>
      </c>
      <c r="L3325" s="7">
        <f>$C$854</f>
        <v>0</v>
      </c>
      <c r="M3325" s="9"/>
      <c r="N3325" s="9"/>
      <c r="O3325" s="9"/>
      <c r="P3325" s="9"/>
      <c r="Q3325" s="9"/>
      <c r="R3325" s="9"/>
      <c r="S3325" s="9"/>
      <c r="T3325" s="9"/>
      <c r="U3325" s="9"/>
      <c r="V3325" s="7">
        <f>$B$2595</f>
        <v>0</v>
      </c>
      <c r="W3325" s="7">
        <f>$C$2595</f>
        <v>89.399118103702705</v>
      </c>
      <c r="X3325" s="10"/>
    </row>
    <row r="3326" spans="1:24">
      <c r="A3326" s="11" t="s">
        <v>131</v>
      </c>
      <c r="B3326" s="9"/>
      <c r="C3326" s="9"/>
      <c r="D3326" s="9"/>
      <c r="E3326" s="9"/>
      <c r="F3326" s="9"/>
      <c r="G3326" s="9"/>
      <c r="H3326" s="9"/>
      <c r="I3326" s="9"/>
      <c r="J3326" s="9"/>
      <c r="K3326" s="9"/>
      <c r="L3326" s="9"/>
      <c r="M3326" s="9"/>
      <c r="N3326" s="9"/>
      <c r="O3326" s="9"/>
      <c r="P3326" s="9"/>
      <c r="Q3326" s="9"/>
      <c r="R3326" s="9"/>
      <c r="S3326" s="9"/>
      <c r="T3326" s="9"/>
      <c r="U3326" s="9"/>
      <c r="V3326" s="9"/>
      <c r="W3326" s="9"/>
      <c r="X3326" s="10"/>
    </row>
    <row r="3327" spans="1:24">
      <c r="A3327" s="11" t="s">
        <v>132</v>
      </c>
      <c r="B3327" s="9"/>
      <c r="C3327" s="9"/>
      <c r="D3327" s="9"/>
      <c r="E3327" s="9"/>
      <c r="F3327" s="9"/>
      <c r="G3327" s="9"/>
      <c r="H3327" s="9"/>
      <c r="I3327" s="9"/>
      <c r="J3327" s="9"/>
      <c r="K3327" s="9"/>
      <c r="L3327" s="9"/>
      <c r="M3327" s="9"/>
      <c r="N3327" s="9"/>
      <c r="O3327" s="9"/>
      <c r="P3327" s="9"/>
      <c r="Q3327" s="9"/>
      <c r="R3327" s="9"/>
      <c r="S3327" s="9"/>
      <c r="T3327" s="9"/>
      <c r="U3327" s="9"/>
      <c r="V3327" s="9"/>
      <c r="W3327" s="9"/>
      <c r="X3327" s="10"/>
    </row>
    <row r="3328" spans="1:24">
      <c r="A3328" s="11" t="s">
        <v>133</v>
      </c>
      <c r="B3328" s="9"/>
      <c r="C3328" s="9"/>
      <c r="D3328" s="9"/>
      <c r="E3328" s="9"/>
      <c r="F3328" s="9"/>
      <c r="G3328" s="9"/>
      <c r="H3328" s="9"/>
      <c r="I3328" s="9"/>
      <c r="J3328" s="9"/>
      <c r="K3328" s="9"/>
      <c r="L3328" s="9"/>
      <c r="M3328" s="9"/>
      <c r="N3328" s="9"/>
      <c r="O3328" s="9"/>
      <c r="P3328" s="9"/>
      <c r="Q3328" s="9"/>
      <c r="R3328" s="9"/>
      <c r="S3328" s="9"/>
      <c r="T3328" s="9"/>
      <c r="U3328" s="9"/>
      <c r="V3328" s="9"/>
      <c r="W3328" s="9"/>
      <c r="X3328" s="10"/>
    </row>
    <row r="3329" spans="1:24">
      <c r="A3329" s="11" t="s">
        <v>134</v>
      </c>
      <c r="B3329" s="9"/>
      <c r="C3329" s="9"/>
      <c r="D3329" s="9"/>
      <c r="E3329" s="9"/>
      <c r="F3329" s="9"/>
      <c r="G3329" s="9"/>
      <c r="H3329" s="9"/>
      <c r="I3329" s="9"/>
      <c r="J3329" s="9"/>
      <c r="K3329" s="9"/>
      <c r="L3329" s="9"/>
      <c r="M3329" s="9"/>
      <c r="N3329" s="9"/>
      <c r="O3329" s="9"/>
      <c r="P3329" s="9"/>
      <c r="Q3329" s="9"/>
      <c r="R3329" s="9"/>
      <c r="S3329" s="9"/>
      <c r="T3329" s="9"/>
      <c r="U3329" s="9"/>
      <c r="V3329" s="9"/>
      <c r="W3329" s="9"/>
      <c r="X3329" s="10"/>
    </row>
    <row r="3330" spans="1:24">
      <c r="A3330" s="11" t="s">
        <v>135</v>
      </c>
      <c r="B3330" s="9"/>
      <c r="C3330" s="9"/>
      <c r="D3330" s="9"/>
      <c r="E3330" s="9"/>
      <c r="F3330" s="9"/>
      <c r="G3330" s="9"/>
      <c r="H3330" s="9"/>
      <c r="I3330" s="9"/>
      <c r="J3330" s="9"/>
      <c r="K3330" s="9"/>
      <c r="L3330" s="9"/>
      <c r="M3330" s="9"/>
      <c r="N3330" s="9"/>
      <c r="O3330" s="9"/>
      <c r="P3330" s="9"/>
      <c r="Q3330" s="9"/>
      <c r="R3330" s="9"/>
      <c r="S3330" s="9"/>
      <c r="T3330" s="9"/>
      <c r="U3330" s="9"/>
      <c r="V3330" s="9"/>
      <c r="W3330" s="9"/>
      <c r="X3330" s="10"/>
    </row>
    <row r="3331" spans="1:24">
      <c r="A3331" s="11" t="s">
        <v>1645</v>
      </c>
      <c r="B3331" s="9"/>
      <c r="C3331" s="9"/>
      <c r="D3331" s="9"/>
      <c r="E3331" s="9"/>
      <c r="F3331" s="9"/>
      <c r="G3331" s="9"/>
      <c r="H3331" s="9"/>
      <c r="I3331" s="9"/>
      <c r="J3331" s="9"/>
      <c r="K3331" s="7">
        <f>$B$860</f>
        <v>0</v>
      </c>
      <c r="L3331" s="7">
        <f>$C$860</f>
        <v>0</v>
      </c>
      <c r="M3331" s="9"/>
      <c r="N3331" s="9"/>
      <c r="O3331" s="9"/>
      <c r="P3331" s="9"/>
      <c r="Q3331" s="9"/>
      <c r="R3331" s="9"/>
      <c r="S3331" s="9"/>
      <c r="T3331" s="9"/>
      <c r="U3331" s="9"/>
      <c r="V3331" s="7">
        <f>$B$2601</f>
        <v>0</v>
      </c>
      <c r="W3331" s="7">
        <f>$C$2601</f>
        <v>0</v>
      </c>
      <c r="X3331" s="10"/>
    </row>
    <row r="3332" spans="1:24">
      <c r="A3332" s="11" t="s">
        <v>100</v>
      </c>
      <c r="B3332" s="9"/>
      <c r="C3332" s="9"/>
      <c r="D3332" s="9"/>
      <c r="E3332" s="9"/>
      <c r="F3332" s="9"/>
      <c r="G3332" s="9"/>
      <c r="H3332" s="9"/>
      <c r="I3332" s="9"/>
      <c r="J3332" s="9"/>
      <c r="K3332" s="7">
        <f>$B$861</f>
        <v>0</v>
      </c>
      <c r="L3332" s="7">
        <f>$C$861</f>
        <v>0</v>
      </c>
      <c r="M3332" s="9"/>
      <c r="N3332" s="9"/>
      <c r="O3332" s="9"/>
      <c r="P3332" s="9"/>
      <c r="Q3332" s="9"/>
      <c r="R3332" s="9"/>
      <c r="S3332" s="9"/>
      <c r="T3332" s="9"/>
      <c r="U3332" s="9"/>
      <c r="V3332" s="7">
        <f>$B$2602</f>
        <v>0</v>
      </c>
      <c r="W3332" s="7">
        <f>$C$2602</f>
        <v>0</v>
      </c>
      <c r="X3332" s="10"/>
    </row>
    <row r="3333" spans="1:24">
      <c r="A3333" s="11" t="s">
        <v>101</v>
      </c>
      <c r="B3333" s="9"/>
      <c r="C3333" s="9"/>
      <c r="D3333" s="9"/>
      <c r="E3333" s="9"/>
      <c r="F3333" s="9"/>
      <c r="G3333" s="9"/>
      <c r="H3333" s="9"/>
      <c r="I3333" s="9"/>
      <c r="J3333" s="9"/>
      <c r="K3333" s="7">
        <f>$B$862</f>
        <v>0</v>
      </c>
      <c r="L3333" s="7">
        <f>$C$862</f>
        <v>0</v>
      </c>
      <c r="M3333" s="9"/>
      <c r="N3333" s="9"/>
      <c r="O3333" s="9"/>
      <c r="P3333" s="9"/>
      <c r="Q3333" s="9"/>
      <c r="R3333" s="9"/>
      <c r="S3333" s="9"/>
      <c r="T3333" s="9"/>
      <c r="U3333" s="9"/>
      <c r="V3333" s="7">
        <f>$B$2603</f>
        <v>0</v>
      </c>
      <c r="W3333" s="7">
        <f>$C$2603</f>
        <v>0</v>
      </c>
      <c r="X3333" s="10"/>
    </row>
    <row r="3334" spans="1:24">
      <c r="A3334" s="11" t="s">
        <v>102</v>
      </c>
      <c r="B3334" s="9"/>
      <c r="C3334" s="9"/>
      <c r="D3334" s="9"/>
      <c r="E3334" s="9"/>
      <c r="F3334" s="9"/>
      <c r="G3334" s="9"/>
      <c r="H3334" s="9"/>
      <c r="I3334" s="9"/>
      <c r="J3334" s="9"/>
      <c r="K3334" s="7">
        <f>$B$863</f>
        <v>0</v>
      </c>
      <c r="L3334" s="7">
        <f>$C$863</f>
        <v>0</v>
      </c>
      <c r="M3334" s="9"/>
      <c r="N3334" s="9"/>
      <c r="O3334" s="9"/>
      <c r="P3334" s="9"/>
      <c r="Q3334" s="9"/>
      <c r="R3334" s="9"/>
      <c r="S3334" s="9"/>
      <c r="T3334" s="9"/>
      <c r="U3334" s="9"/>
      <c r="V3334" s="7">
        <f>$B$2604</f>
        <v>0</v>
      </c>
      <c r="W3334" s="7">
        <f>$C$2604</f>
        <v>0</v>
      </c>
      <c r="X3334" s="10"/>
    </row>
    <row r="3335" spans="1:24">
      <c r="A3335" s="11" t="s">
        <v>103</v>
      </c>
      <c r="B3335" s="9"/>
      <c r="C3335" s="9"/>
      <c r="D3335" s="9"/>
      <c r="E3335" s="9"/>
      <c r="F3335" s="9"/>
      <c r="G3335" s="9"/>
      <c r="H3335" s="9"/>
      <c r="I3335" s="9"/>
      <c r="J3335" s="9"/>
      <c r="K3335" s="7">
        <f>$B$864</f>
        <v>0</v>
      </c>
      <c r="L3335" s="7">
        <f>$C$864</f>
        <v>0</v>
      </c>
      <c r="M3335" s="9"/>
      <c r="N3335" s="9"/>
      <c r="O3335" s="9"/>
      <c r="P3335" s="9"/>
      <c r="Q3335" s="9"/>
      <c r="R3335" s="9"/>
      <c r="S3335" s="9"/>
      <c r="T3335" s="9"/>
      <c r="U3335" s="9"/>
      <c r="V3335" s="7">
        <f>$B$2605</f>
        <v>0</v>
      </c>
      <c r="W3335" s="7">
        <f>$C$2605</f>
        <v>0</v>
      </c>
      <c r="X3335" s="10"/>
    </row>
    <row r="3336" spans="1:24">
      <c r="A3336" s="11" t="s">
        <v>104</v>
      </c>
      <c r="B3336" s="9"/>
      <c r="C3336" s="9"/>
      <c r="D3336" s="9"/>
      <c r="E3336" s="9"/>
      <c r="F3336" s="9"/>
      <c r="G3336" s="9"/>
      <c r="H3336" s="9"/>
      <c r="I3336" s="9"/>
      <c r="J3336" s="9"/>
      <c r="K3336" s="7">
        <f>$B$865</f>
        <v>0</v>
      </c>
      <c r="L3336" s="7">
        <f>$C$865</f>
        <v>0</v>
      </c>
      <c r="M3336" s="9"/>
      <c r="N3336" s="9"/>
      <c r="O3336" s="9"/>
      <c r="P3336" s="9"/>
      <c r="Q3336" s="9"/>
      <c r="R3336" s="9"/>
      <c r="S3336" s="9"/>
      <c r="T3336" s="9"/>
      <c r="U3336" s="9"/>
      <c r="V3336" s="7">
        <f>$B$2606</f>
        <v>0</v>
      </c>
      <c r="W3336" s="7">
        <f>$C$2606</f>
        <v>0</v>
      </c>
      <c r="X3336" s="10"/>
    </row>
    <row r="3337" spans="1:24">
      <c r="A3337" s="11" t="s">
        <v>112</v>
      </c>
      <c r="B3337" s="9"/>
      <c r="C3337" s="9"/>
      <c r="D3337" s="9"/>
      <c r="E3337" s="9"/>
      <c r="F3337" s="9"/>
      <c r="G3337" s="9"/>
      <c r="H3337" s="9"/>
      <c r="I3337" s="9"/>
      <c r="J3337" s="9"/>
      <c r="K3337" s="7">
        <f>$B$866</f>
        <v>0</v>
      </c>
      <c r="L3337" s="7">
        <f>$C$866</f>
        <v>0</v>
      </c>
      <c r="M3337" s="9"/>
      <c r="N3337" s="9"/>
      <c r="O3337" s="9"/>
      <c r="P3337" s="9"/>
      <c r="Q3337" s="9"/>
      <c r="R3337" s="9"/>
      <c r="S3337" s="9"/>
      <c r="T3337" s="9"/>
      <c r="U3337" s="9"/>
      <c r="V3337" s="7">
        <f>$B$2607</f>
        <v>0</v>
      </c>
      <c r="W3337" s="7">
        <f>$C$2607</f>
        <v>43.102334840579751</v>
      </c>
      <c r="X3337" s="10"/>
    </row>
    <row r="3338" spans="1:24">
      <c r="A3338" s="11" t="s">
        <v>113</v>
      </c>
      <c r="B3338" s="9"/>
      <c r="C3338" s="9"/>
      <c r="D3338" s="9"/>
      <c r="E3338" s="9"/>
      <c r="F3338" s="9"/>
      <c r="G3338" s="9"/>
      <c r="H3338" s="9"/>
      <c r="I3338" s="9"/>
      <c r="J3338" s="9"/>
      <c r="K3338" s="7">
        <f>$B$867</f>
        <v>0</v>
      </c>
      <c r="L3338" s="7">
        <f>$C$867</f>
        <v>0</v>
      </c>
      <c r="M3338" s="9"/>
      <c r="N3338" s="9"/>
      <c r="O3338" s="9"/>
      <c r="P3338" s="9"/>
      <c r="Q3338" s="9"/>
      <c r="R3338" s="9"/>
      <c r="S3338" s="9"/>
      <c r="T3338" s="9"/>
      <c r="U3338" s="9"/>
      <c r="V3338" s="7">
        <f>$B$2608</f>
        <v>0</v>
      </c>
      <c r="W3338" s="7">
        <f>$C$2608</f>
        <v>43.102334840579751</v>
      </c>
      <c r="X3338" s="10"/>
    </row>
    <row r="3340" spans="1:24" ht="21" customHeight="1">
      <c r="A3340" s="1" t="s">
        <v>774</v>
      </c>
    </row>
    <row r="3341" spans="1:24">
      <c r="A3341" s="2" t="s">
        <v>255</v>
      </c>
    </row>
    <row r="3342" spans="1:24">
      <c r="A3342" s="12" t="s">
        <v>775</v>
      </c>
    </row>
    <row r="3343" spans="1:24">
      <c r="A3343" s="2" t="s">
        <v>641</v>
      </c>
    </row>
    <row r="3345" spans="1:24" ht="30">
      <c r="B3345" s="3" t="s">
        <v>60</v>
      </c>
      <c r="C3345" s="3" t="s">
        <v>220</v>
      </c>
      <c r="D3345" s="3" t="s">
        <v>221</v>
      </c>
      <c r="E3345" s="3" t="s">
        <v>222</v>
      </c>
      <c r="F3345" s="3" t="s">
        <v>223</v>
      </c>
      <c r="G3345" s="3" t="s">
        <v>224</v>
      </c>
      <c r="H3345" s="3" t="s">
        <v>225</v>
      </c>
      <c r="I3345" s="3" t="s">
        <v>226</v>
      </c>
      <c r="J3345" s="3" t="s">
        <v>227</v>
      </c>
      <c r="K3345" s="3" t="s">
        <v>364</v>
      </c>
      <c r="L3345" s="3" t="s">
        <v>376</v>
      </c>
      <c r="M3345" s="3" t="s">
        <v>208</v>
      </c>
      <c r="N3345" s="3" t="s">
        <v>624</v>
      </c>
      <c r="O3345" s="3" t="s">
        <v>625</v>
      </c>
      <c r="P3345" s="3" t="s">
        <v>626</v>
      </c>
      <c r="Q3345" s="3" t="s">
        <v>627</v>
      </c>
      <c r="R3345" s="3" t="s">
        <v>628</v>
      </c>
      <c r="S3345" s="3" t="s">
        <v>629</v>
      </c>
      <c r="T3345" s="3" t="s">
        <v>630</v>
      </c>
      <c r="U3345" s="3" t="s">
        <v>631</v>
      </c>
      <c r="V3345" s="3" t="s">
        <v>632</v>
      </c>
      <c r="W3345" s="3" t="s">
        <v>633</v>
      </c>
    </row>
    <row r="3346" spans="1:24">
      <c r="A3346" s="11" t="s">
        <v>92</v>
      </c>
      <c r="B3346" s="9"/>
      <c r="C3346" s="9"/>
      <c r="D3346" s="9"/>
      <c r="E3346" s="9"/>
      <c r="F3346" s="9"/>
      <c r="G3346" s="9"/>
      <c r="H3346" s="9"/>
      <c r="I3346" s="9"/>
      <c r="J3346" s="9"/>
      <c r="K3346" s="9"/>
      <c r="L3346" s="9"/>
      <c r="M3346" s="9"/>
      <c r="N3346" s="9"/>
      <c r="O3346" s="9"/>
      <c r="P3346" s="9"/>
      <c r="Q3346" s="9"/>
      <c r="R3346" s="9"/>
      <c r="S3346" s="9"/>
      <c r="T3346" s="9"/>
      <c r="U3346" s="9"/>
      <c r="V3346" s="9"/>
      <c r="W3346" s="9"/>
      <c r="X3346" s="10"/>
    </row>
    <row r="3347" spans="1:24">
      <c r="A3347" s="11" t="s">
        <v>93</v>
      </c>
      <c r="B3347" s="9"/>
      <c r="C3347" s="9"/>
      <c r="D3347" s="9"/>
      <c r="E3347" s="9"/>
      <c r="F3347" s="9"/>
      <c r="G3347" s="9"/>
      <c r="H3347" s="9"/>
      <c r="I3347" s="9"/>
      <c r="J3347" s="9"/>
      <c r="K3347" s="9"/>
      <c r="L3347" s="9"/>
      <c r="M3347" s="9"/>
      <c r="N3347" s="9"/>
      <c r="O3347" s="9"/>
      <c r="P3347" s="9"/>
      <c r="Q3347" s="9"/>
      <c r="R3347" s="9"/>
      <c r="S3347" s="9"/>
      <c r="T3347" s="9"/>
      <c r="U3347" s="9"/>
      <c r="V3347" s="9"/>
      <c r="W3347" s="9"/>
      <c r="X3347" s="10"/>
    </row>
    <row r="3348" spans="1:24">
      <c r="A3348" s="11" t="s">
        <v>129</v>
      </c>
      <c r="B3348" s="9"/>
      <c r="C3348" s="9"/>
      <c r="D3348" s="9"/>
      <c r="E3348" s="9"/>
      <c r="F3348" s="9"/>
      <c r="G3348" s="9"/>
      <c r="H3348" s="9"/>
      <c r="I3348" s="9"/>
      <c r="J3348" s="9"/>
      <c r="K3348" s="9"/>
      <c r="L3348" s="9"/>
      <c r="M3348" s="9"/>
      <c r="N3348" s="9"/>
      <c r="O3348" s="9"/>
      <c r="P3348" s="9"/>
      <c r="Q3348" s="9"/>
      <c r="R3348" s="9"/>
      <c r="S3348" s="9"/>
      <c r="T3348" s="9"/>
      <c r="U3348" s="9"/>
      <c r="V3348" s="9"/>
      <c r="W3348" s="9"/>
      <c r="X3348" s="10"/>
    </row>
    <row r="3349" spans="1:24">
      <c r="A3349" s="11" t="s">
        <v>94</v>
      </c>
      <c r="B3349" s="9"/>
      <c r="C3349" s="9"/>
      <c r="D3349" s="9"/>
      <c r="E3349" s="9"/>
      <c r="F3349" s="9"/>
      <c r="G3349" s="9"/>
      <c r="H3349" s="9"/>
      <c r="I3349" s="9"/>
      <c r="J3349" s="9"/>
      <c r="K3349" s="9"/>
      <c r="L3349" s="9"/>
      <c r="M3349" s="9"/>
      <c r="N3349" s="9"/>
      <c r="O3349" s="9"/>
      <c r="P3349" s="9"/>
      <c r="Q3349" s="9"/>
      <c r="R3349" s="9"/>
      <c r="S3349" s="9"/>
      <c r="T3349" s="9"/>
      <c r="U3349" s="9"/>
      <c r="V3349" s="9"/>
      <c r="W3349" s="9"/>
      <c r="X3349" s="10"/>
    </row>
    <row r="3350" spans="1:24">
      <c r="A3350" s="11" t="s">
        <v>95</v>
      </c>
      <c r="B3350" s="9"/>
      <c r="C3350" s="9"/>
      <c r="D3350" s="9"/>
      <c r="E3350" s="9"/>
      <c r="F3350" s="9"/>
      <c r="G3350" s="9"/>
      <c r="H3350" s="9"/>
      <c r="I3350" s="9"/>
      <c r="J3350" s="9"/>
      <c r="K3350" s="9"/>
      <c r="L3350" s="9"/>
      <c r="M3350" s="9"/>
      <c r="N3350" s="9"/>
      <c r="O3350" s="9"/>
      <c r="P3350" s="9"/>
      <c r="Q3350" s="9"/>
      <c r="R3350" s="9"/>
      <c r="S3350" s="9"/>
      <c r="T3350" s="9"/>
      <c r="U3350" s="9"/>
      <c r="V3350" s="9"/>
      <c r="W3350" s="9"/>
      <c r="X3350" s="10"/>
    </row>
    <row r="3351" spans="1:24">
      <c r="A3351" s="11" t="s">
        <v>130</v>
      </c>
      <c r="B3351" s="9"/>
      <c r="C3351" s="9"/>
      <c r="D3351" s="9"/>
      <c r="E3351" s="9"/>
      <c r="F3351" s="9"/>
      <c r="G3351" s="9"/>
      <c r="H3351" s="9"/>
      <c r="I3351" s="9"/>
      <c r="J3351" s="9"/>
      <c r="K3351" s="9"/>
      <c r="L3351" s="9"/>
      <c r="M3351" s="9"/>
      <c r="N3351" s="9"/>
      <c r="O3351" s="9"/>
      <c r="P3351" s="9"/>
      <c r="Q3351" s="9"/>
      <c r="R3351" s="9"/>
      <c r="S3351" s="9"/>
      <c r="T3351" s="9"/>
      <c r="U3351" s="9"/>
      <c r="V3351" s="9"/>
      <c r="W3351" s="9"/>
      <c r="X3351" s="10"/>
    </row>
    <row r="3352" spans="1:24">
      <c r="A3352" s="11" t="s">
        <v>96</v>
      </c>
      <c r="B3352" s="9"/>
      <c r="C3352" s="9"/>
      <c r="D3352" s="9"/>
      <c r="E3352" s="9"/>
      <c r="F3352" s="9"/>
      <c r="G3352" s="9"/>
      <c r="H3352" s="9"/>
      <c r="I3352" s="9"/>
      <c r="J3352" s="9"/>
      <c r="K3352" s="9"/>
      <c r="L3352" s="9"/>
      <c r="M3352" s="9"/>
      <c r="N3352" s="9"/>
      <c r="O3352" s="9"/>
      <c r="P3352" s="9"/>
      <c r="Q3352" s="9"/>
      <c r="R3352" s="9"/>
      <c r="S3352" s="9"/>
      <c r="T3352" s="9"/>
      <c r="U3352" s="9"/>
      <c r="V3352" s="9"/>
      <c r="W3352" s="9"/>
      <c r="X3352" s="10"/>
    </row>
    <row r="3353" spans="1:24">
      <c r="A3353" s="11" t="s">
        <v>97</v>
      </c>
      <c r="B3353" s="9"/>
      <c r="C3353" s="9"/>
      <c r="D3353" s="9"/>
      <c r="E3353" s="9"/>
      <c r="F3353" s="9"/>
      <c r="G3353" s="9"/>
      <c r="H3353" s="9"/>
      <c r="I3353" s="9"/>
      <c r="J3353" s="9"/>
      <c r="K3353" s="9"/>
      <c r="L3353" s="9"/>
      <c r="M3353" s="9"/>
      <c r="N3353" s="9"/>
      <c r="O3353" s="9"/>
      <c r="P3353" s="9"/>
      <c r="Q3353" s="9"/>
      <c r="R3353" s="9"/>
      <c r="S3353" s="9"/>
      <c r="T3353" s="9"/>
      <c r="U3353" s="9"/>
      <c r="V3353" s="9"/>
      <c r="W3353" s="9"/>
      <c r="X3353" s="10"/>
    </row>
    <row r="3354" spans="1:24">
      <c r="A3354" s="11" t="s">
        <v>110</v>
      </c>
      <c r="B3354" s="9"/>
      <c r="C3354" s="9"/>
      <c r="D3354" s="9"/>
      <c r="E3354" s="9"/>
      <c r="F3354" s="9"/>
      <c r="G3354" s="9"/>
      <c r="H3354" s="9"/>
      <c r="I3354" s="9"/>
      <c r="J3354" s="9"/>
      <c r="K3354" s="9"/>
      <c r="L3354" s="9"/>
      <c r="M3354" s="9"/>
      <c r="N3354" s="9"/>
      <c r="O3354" s="9"/>
      <c r="P3354" s="9"/>
      <c r="Q3354" s="9"/>
      <c r="R3354" s="9"/>
      <c r="S3354" s="9"/>
      <c r="T3354" s="9"/>
      <c r="U3354" s="9"/>
      <c r="V3354" s="9"/>
      <c r="W3354" s="9"/>
      <c r="X3354" s="10"/>
    </row>
    <row r="3355" spans="1:24">
      <c r="A3355" s="11" t="s">
        <v>1647</v>
      </c>
      <c r="B3355" s="9"/>
      <c r="C3355" s="9"/>
      <c r="D3355" s="9"/>
      <c r="E3355" s="9"/>
      <c r="F3355" s="9"/>
      <c r="G3355" s="9"/>
      <c r="H3355" s="9"/>
      <c r="I3355" s="9"/>
      <c r="J3355" s="9"/>
      <c r="K3355" s="9"/>
      <c r="L3355" s="9"/>
      <c r="M3355" s="9"/>
      <c r="N3355" s="9"/>
      <c r="O3355" s="9"/>
      <c r="P3355" s="9"/>
      <c r="Q3355" s="9"/>
      <c r="R3355" s="9"/>
      <c r="S3355" s="9"/>
      <c r="T3355" s="9"/>
      <c r="U3355" s="9"/>
      <c r="V3355" s="9"/>
      <c r="W3355" s="9"/>
      <c r="X3355" s="10"/>
    </row>
    <row r="3356" spans="1:24">
      <c r="A3356" s="11" t="s">
        <v>1646</v>
      </c>
      <c r="B3356" s="9"/>
      <c r="C3356" s="9"/>
      <c r="D3356" s="9"/>
      <c r="E3356" s="9"/>
      <c r="F3356" s="9"/>
      <c r="G3356" s="9"/>
      <c r="H3356" s="9"/>
      <c r="I3356" s="9"/>
      <c r="J3356" s="9"/>
      <c r="K3356" s="9"/>
      <c r="L3356" s="9"/>
      <c r="M3356" s="9"/>
      <c r="N3356" s="9"/>
      <c r="O3356" s="9"/>
      <c r="P3356" s="9"/>
      <c r="Q3356" s="9"/>
      <c r="R3356" s="9"/>
      <c r="S3356" s="9"/>
      <c r="T3356" s="9"/>
      <c r="U3356" s="9"/>
      <c r="V3356" s="9"/>
      <c r="W3356" s="9"/>
      <c r="X3356" s="10"/>
    </row>
    <row r="3357" spans="1:24">
      <c r="A3357" s="11" t="s">
        <v>98</v>
      </c>
      <c r="B3357" s="7">
        <f>$B$2907</f>
        <v>0</v>
      </c>
      <c r="C3357" s="7">
        <f>$C$2907</f>
        <v>0</v>
      </c>
      <c r="D3357" s="7">
        <f>$D$2907</f>
        <v>0</v>
      </c>
      <c r="E3357" s="7">
        <f>$E$2907</f>
        <v>0</v>
      </c>
      <c r="F3357" s="7">
        <f>$F$2907</f>
        <v>0</v>
      </c>
      <c r="G3357" s="7">
        <f>$G$2907</f>
        <v>0</v>
      </c>
      <c r="H3357" s="7">
        <f>$H$2907</f>
        <v>0.17531264959337189</v>
      </c>
      <c r="I3357" s="7">
        <f>$I$2907</f>
        <v>6.7728800651553067E-2</v>
      </c>
      <c r="J3357" s="7">
        <f>$J$2907</f>
        <v>0.14878600950440751</v>
      </c>
      <c r="K3357" s="9"/>
      <c r="L3357" s="9"/>
      <c r="M3357" s="7">
        <f>$K$2907</f>
        <v>0</v>
      </c>
      <c r="N3357" s="7">
        <f>$L$2907</f>
        <v>0</v>
      </c>
      <c r="O3357" s="7">
        <f>$M$2907</f>
        <v>0</v>
      </c>
      <c r="P3357" s="7">
        <f>$N$2907</f>
        <v>0</v>
      </c>
      <c r="Q3357" s="7">
        <f>$O$2907</f>
        <v>0</v>
      </c>
      <c r="R3357" s="7">
        <f>$P$2907</f>
        <v>0</v>
      </c>
      <c r="S3357" s="7">
        <f>$Q$2907</f>
        <v>0.36841576657895048</v>
      </c>
      <c r="T3357" s="7">
        <f>$R$2907</f>
        <v>0.71165309717782632</v>
      </c>
      <c r="U3357" s="7">
        <f>$S$2907</f>
        <v>1.5633530117458703</v>
      </c>
      <c r="V3357" s="9"/>
      <c r="W3357" s="9"/>
      <c r="X3357" s="10"/>
    </row>
    <row r="3358" spans="1:24">
      <c r="A3358" s="11" t="s">
        <v>99</v>
      </c>
      <c r="B3358" s="7">
        <f>$B$2908</f>
        <v>0</v>
      </c>
      <c r="C3358" s="7">
        <f>$C$2908</f>
        <v>0</v>
      </c>
      <c r="D3358" s="7">
        <f>$D$2908</f>
        <v>0</v>
      </c>
      <c r="E3358" s="7">
        <f>$E$2908</f>
        <v>0</v>
      </c>
      <c r="F3358" s="7">
        <f>$F$2908</f>
        <v>0</v>
      </c>
      <c r="G3358" s="7">
        <f>$G$2908</f>
        <v>0</v>
      </c>
      <c r="H3358" s="7">
        <f>$H$2908</f>
        <v>0.85959750768362975</v>
      </c>
      <c r="I3358" s="7">
        <f>$I$2908</f>
        <v>6.6417920638942377E-2</v>
      </c>
      <c r="J3358" s="7">
        <f>$J$2908</f>
        <v>0</v>
      </c>
      <c r="K3358" s="9"/>
      <c r="L3358" s="9"/>
      <c r="M3358" s="7">
        <f>$K$2908</f>
        <v>0</v>
      </c>
      <c r="N3358" s="7">
        <f>$L$2908</f>
        <v>0</v>
      </c>
      <c r="O3358" s="7">
        <f>$M$2908</f>
        <v>0</v>
      </c>
      <c r="P3358" s="7">
        <f>$N$2908</f>
        <v>0</v>
      </c>
      <c r="Q3358" s="7">
        <f>$O$2908</f>
        <v>0</v>
      </c>
      <c r="R3358" s="7">
        <f>$P$2908</f>
        <v>0</v>
      </c>
      <c r="S3358" s="7">
        <f>$Q$2908</f>
        <v>1.8064256941935637</v>
      </c>
      <c r="T3358" s="7">
        <f>$R$2908</f>
        <v>0.69787916626470725</v>
      </c>
      <c r="U3358" s="7">
        <f>$S$2908</f>
        <v>0</v>
      </c>
      <c r="V3358" s="9"/>
      <c r="W3358" s="9"/>
      <c r="X3358" s="10"/>
    </row>
    <row r="3359" spans="1:24">
      <c r="A3359" s="11" t="s">
        <v>111</v>
      </c>
      <c r="B3359" s="7">
        <f>$B$2909</f>
        <v>0</v>
      </c>
      <c r="C3359" s="7">
        <f>$C$2909</f>
        <v>0.27706683045088681</v>
      </c>
      <c r="D3359" s="7">
        <f>$D$2909</f>
        <v>0</v>
      </c>
      <c r="E3359" s="7">
        <f>$E$2909</f>
        <v>0.140962541593428</v>
      </c>
      <c r="F3359" s="7">
        <f>$F$2909</f>
        <v>8.6228739632683779E-2</v>
      </c>
      <c r="G3359" s="7">
        <f>$G$2909</f>
        <v>3.0515879686500304E-2</v>
      </c>
      <c r="H3359" s="7">
        <f>$H$2909</f>
        <v>0.30360919339994241</v>
      </c>
      <c r="I3359" s="7">
        <f>$I$2909</f>
        <v>0</v>
      </c>
      <c r="J3359" s="7">
        <f>$J$2909</f>
        <v>0</v>
      </c>
      <c r="K3359" s="9"/>
      <c r="L3359" s="9"/>
      <c r="M3359" s="7">
        <f>$K$2909</f>
        <v>0</v>
      </c>
      <c r="N3359" s="7">
        <f>$L$2909</f>
        <v>0.14556249787297545</v>
      </c>
      <c r="O3359" s="7">
        <f>$M$2909</f>
        <v>0</v>
      </c>
      <c r="P3359" s="7">
        <f>$N$2909</f>
        <v>0.1157147471168726</v>
      </c>
      <c r="Q3359" s="7">
        <f>$O$2909</f>
        <v>0.50335512149605199</v>
      </c>
      <c r="R3359" s="7">
        <f>$P$2909</f>
        <v>0.17813462648983391</v>
      </c>
      <c r="S3359" s="7">
        <f>$Q$2909</f>
        <v>1.7723005471509974</v>
      </c>
      <c r="T3359" s="7">
        <f>$R$2909</f>
        <v>0</v>
      </c>
      <c r="U3359" s="7">
        <f>$S$2909</f>
        <v>0</v>
      </c>
      <c r="V3359" s="9"/>
      <c r="W3359" s="9"/>
      <c r="X3359" s="10"/>
    </row>
    <row r="3360" spans="1:24">
      <c r="A3360" s="11" t="s">
        <v>131</v>
      </c>
      <c r="B3360" s="9"/>
      <c r="C3360" s="9"/>
      <c r="D3360" s="9"/>
      <c r="E3360" s="9"/>
      <c r="F3360" s="9"/>
      <c r="G3360" s="9"/>
      <c r="H3360" s="9"/>
      <c r="I3360" s="9"/>
      <c r="J3360" s="9"/>
      <c r="K3360" s="9"/>
      <c r="L3360" s="9"/>
      <c r="M3360" s="9"/>
      <c r="N3360" s="9"/>
      <c r="O3360" s="9"/>
      <c r="P3360" s="9"/>
      <c r="Q3360" s="9"/>
      <c r="R3360" s="9"/>
      <c r="S3360" s="9"/>
      <c r="T3360" s="9"/>
      <c r="U3360" s="9"/>
      <c r="V3360" s="9"/>
      <c r="W3360" s="9"/>
      <c r="X3360" s="10"/>
    </row>
    <row r="3361" spans="1:24">
      <c r="A3361" s="11" t="s">
        <v>132</v>
      </c>
      <c r="B3361" s="9"/>
      <c r="C3361" s="9"/>
      <c r="D3361" s="9"/>
      <c r="E3361" s="9"/>
      <c r="F3361" s="9"/>
      <c r="G3361" s="9"/>
      <c r="H3361" s="9"/>
      <c r="I3361" s="9"/>
      <c r="J3361" s="9"/>
      <c r="K3361" s="9"/>
      <c r="L3361" s="9"/>
      <c r="M3361" s="9"/>
      <c r="N3361" s="9"/>
      <c r="O3361" s="9"/>
      <c r="P3361" s="9"/>
      <c r="Q3361" s="9"/>
      <c r="R3361" s="9"/>
      <c r="S3361" s="9"/>
      <c r="T3361" s="9"/>
      <c r="U3361" s="9"/>
      <c r="V3361" s="9"/>
      <c r="W3361" s="9"/>
      <c r="X3361" s="10"/>
    </row>
    <row r="3362" spans="1:24">
      <c r="A3362" s="11" t="s">
        <v>133</v>
      </c>
      <c r="B3362" s="9"/>
      <c r="C3362" s="9"/>
      <c r="D3362" s="9"/>
      <c r="E3362" s="9"/>
      <c r="F3362" s="9"/>
      <c r="G3362" s="9"/>
      <c r="H3362" s="9"/>
      <c r="I3362" s="9"/>
      <c r="J3362" s="9"/>
      <c r="K3362" s="9"/>
      <c r="L3362" s="9"/>
      <c r="M3362" s="9"/>
      <c r="N3362" s="9"/>
      <c r="O3362" s="9"/>
      <c r="P3362" s="9"/>
      <c r="Q3362" s="9"/>
      <c r="R3362" s="9"/>
      <c r="S3362" s="9"/>
      <c r="T3362" s="9"/>
      <c r="U3362" s="9"/>
      <c r="V3362" s="9"/>
      <c r="W3362" s="9"/>
      <c r="X3362" s="10"/>
    </row>
    <row r="3363" spans="1:24">
      <c r="A3363" s="11" t="s">
        <v>134</v>
      </c>
      <c r="B3363" s="9"/>
      <c r="C3363" s="9"/>
      <c r="D3363" s="9"/>
      <c r="E3363" s="9"/>
      <c r="F3363" s="9"/>
      <c r="G3363" s="9"/>
      <c r="H3363" s="9"/>
      <c r="I3363" s="9"/>
      <c r="J3363" s="9"/>
      <c r="K3363" s="9"/>
      <c r="L3363" s="9"/>
      <c r="M3363" s="9"/>
      <c r="N3363" s="9"/>
      <c r="O3363" s="9"/>
      <c r="P3363" s="9"/>
      <c r="Q3363" s="9"/>
      <c r="R3363" s="9"/>
      <c r="S3363" s="9"/>
      <c r="T3363" s="9"/>
      <c r="U3363" s="9"/>
      <c r="V3363" s="9"/>
      <c r="W3363" s="9"/>
      <c r="X3363" s="10"/>
    </row>
    <row r="3364" spans="1:24">
      <c r="A3364" s="11" t="s">
        <v>135</v>
      </c>
      <c r="B3364" s="9"/>
      <c r="C3364" s="9"/>
      <c r="D3364" s="9"/>
      <c r="E3364" s="9"/>
      <c r="F3364" s="9"/>
      <c r="G3364" s="9"/>
      <c r="H3364" s="9"/>
      <c r="I3364" s="9"/>
      <c r="J3364" s="9"/>
      <c r="K3364" s="9"/>
      <c r="L3364" s="9"/>
      <c r="M3364" s="9"/>
      <c r="N3364" s="9"/>
      <c r="O3364" s="9"/>
      <c r="P3364" s="9"/>
      <c r="Q3364" s="9"/>
      <c r="R3364" s="9"/>
      <c r="S3364" s="9"/>
      <c r="T3364" s="9"/>
      <c r="U3364" s="9"/>
      <c r="V3364" s="9"/>
      <c r="W3364" s="9"/>
      <c r="X3364" s="10"/>
    </row>
    <row r="3365" spans="1:24">
      <c r="A3365" s="11" t="s">
        <v>1645</v>
      </c>
      <c r="B3365" s="9"/>
      <c r="C3365" s="9"/>
      <c r="D3365" s="9"/>
      <c r="E3365" s="9"/>
      <c r="F3365" s="9"/>
      <c r="G3365" s="9"/>
      <c r="H3365" s="9"/>
      <c r="I3365" s="9"/>
      <c r="J3365" s="9"/>
      <c r="K3365" s="9"/>
      <c r="L3365" s="9"/>
      <c r="M3365" s="9"/>
      <c r="N3365" s="9"/>
      <c r="O3365" s="9"/>
      <c r="P3365" s="9"/>
      <c r="Q3365" s="9"/>
      <c r="R3365" s="9"/>
      <c r="S3365" s="9"/>
      <c r="T3365" s="9"/>
      <c r="U3365" s="9"/>
      <c r="V3365" s="9"/>
      <c r="W3365" s="9"/>
      <c r="X3365" s="10"/>
    </row>
    <row r="3366" spans="1:24">
      <c r="A3366" s="11" t="s">
        <v>100</v>
      </c>
      <c r="B3366" s="9"/>
      <c r="C3366" s="9"/>
      <c r="D3366" s="9"/>
      <c r="E3366" s="9"/>
      <c r="F3366" s="9"/>
      <c r="G3366" s="9"/>
      <c r="H3366" s="9"/>
      <c r="I3366" s="9"/>
      <c r="J3366" s="9"/>
      <c r="K3366" s="9"/>
      <c r="L3366" s="9"/>
      <c r="M3366" s="9"/>
      <c r="N3366" s="9"/>
      <c r="O3366" s="9"/>
      <c r="P3366" s="9"/>
      <c r="Q3366" s="9"/>
      <c r="R3366" s="9"/>
      <c r="S3366" s="9"/>
      <c r="T3366" s="9"/>
      <c r="U3366" s="9"/>
      <c r="V3366" s="9"/>
      <c r="W3366" s="9"/>
      <c r="X3366" s="10"/>
    </row>
    <row r="3367" spans="1:24">
      <c r="A3367" s="11" t="s">
        <v>101</v>
      </c>
      <c r="B3367" s="9"/>
      <c r="C3367" s="9"/>
      <c r="D3367" s="9"/>
      <c r="E3367" s="9"/>
      <c r="F3367" s="9"/>
      <c r="G3367" s="9"/>
      <c r="H3367" s="9"/>
      <c r="I3367" s="9"/>
      <c r="J3367" s="9"/>
      <c r="K3367" s="9"/>
      <c r="L3367" s="9"/>
      <c r="M3367" s="9"/>
      <c r="N3367" s="9"/>
      <c r="O3367" s="9"/>
      <c r="P3367" s="9"/>
      <c r="Q3367" s="9"/>
      <c r="R3367" s="9"/>
      <c r="S3367" s="9"/>
      <c r="T3367" s="9"/>
      <c r="U3367" s="9"/>
      <c r="V3367" s="9"/>
      <c r="W3367" s="9"/>
      <c r="X3367" s="10"/>
    </row>
    <row r="3368" spans="1:24">
      <c r="A3368" s="11" t="s">
        <v>102</v>
      </c>
      <c r="B3368" s="9"/>
      <c r="C3368" s="9"/>
      <c r="D3368" s="9"/>
      <c r="E3368" s="9"/>
      <c r="F3368" s="9"/>
      <c r="G3368" s="9"/>
      <c r="H3368" s="9"/>
      <c r="I3368" s="9"/>
      <c r="J3368" s="9"/>
      <c r="K3368" s="9"/>
      <c r="L3368" s="9"/>
      <c r="M3368" s="9"/>
      <c r="N3368" s="9"/>
      <c r="O3368" s="9"/>
      <c r="P3368" s="9"/>
      <c r="Q3368" s="9"/>
      <c r="R3368" s="9"/>
      <c r="S3368" s="9"/>
      <c r="T3368" s="9"/>
      <c r="U3368" s="9"/>
      <c r="V3368" s="9"/>
      <c r="W3368" s="9"/>
      <c r="X3368" s="10"/>
    </row>
    <row r="3369" spans="1:24">
      <c r="A3369" s="11" t="s">
        <v>103</v>
      </c>
      <c r="B3369" s="9"/>
      <c r="C3369" s="9"/>
      <c r="D3369" s="9"/>
      <c r="E3369" s="9"/>
      <c r="F3369" s="9"/>
      <c r="G3369" s="9"/>
      <c r="H3369" s="9"/>
      <c r="I3369" s="9"/>
      <c r="J3369" s="9"/>
      <c r="K3369" s="9"/>
      <c r="L3369" s="9"/>
      <c r="M3369" s="9"/>
      <c r="N3369" s="9"/>
      <c r="O3369" s="9"/>
      <c r="P3369" s="9"/>
      <c r="Q3369" s="9"/>
      <c r="R3369" s="9"/>
      <c r="S3369" s="9"/>
      <c r="T3369" s="9"/>
      <c r="U3369" s="9"/>
      <c r="V3369" s="9"/>
      <c r="W3369" s="9"/>
      <c r="X3369" s="10"/>
    </row>
    <row r="3370" spans="1:24">
      <c r="A3370" s="11" t="s">
        <v>104</v>
      </c>
      <c r="B3370" s="9"/>
      <c r="C3370" s="9"/>
      <c r="D3370" s="9"/>
      <c r="E3370" s="9"/>
      <c r="F3370" s="9"/>
      <c r="G3370" s="9"/>
      <c r="H3370" s="9"/>
      <c r="I3370" s="9"/>
      <c r="J3370" s="9"/>
      <c r="K3370" s="9"/>
      <c r="L3370" s="9"/>
      <c r="M3370" s="9"/>
      <c r="N3370" s="9"/>
      <c r="O3370" s="9"/>
      <c r="P3370" s="9"/>
      <c r="Q3370" s="9"/>
      <c r="R3370" s="9"/>
      <c r="S3370" s="9"/>
      <c r="T3370" s="9"/>
      <c r="U3370" s="9"/>
      <c r="V3370" s="9"/>
      <c r="W3370" s="9"/>
      <c r="X3370" s="10"/>
    </row>
    <row r="3371" spans="1:24">
      <c r="A3371" s="11" t="s">
        <v>112</v>
      </c>
      <c r="B3371" s="9"/>
      <c r="C3371" s="9"/>
      <c r="D3371" s="9"/>
      <c r="E3371" s="9"/>
      <c r="F3371" s="9"/>
      <c r="G3371" s="9"/>
      <c r="H3371" s="9"/>
      <c r="I3371" s="9"/>
      <c r="J3371" s="9"/>
      <c r="K3371" s="9"/>
      <c r="L3371" s="9"/>
      <c r="M3371" s="9"/>
      <c r="N3371" s="9"/>
      <c r="O3371" s="9"/>
      <c r="P3371" s="9"/>
      <c r="Q3371" s="9"/>
      <c r="R3371" s="9"/>
      <c r="S3371" s="9"/>
      <c r="T3371" s="9"/>
      <c r="U3371" s="9"/>
      <c r="V3371" s="9"/>
      <c r="W3371" s="9"/>
      <c r="X3371" s="10"/>
    </row>
    <row r="3372" spans="1:24">
      <c r="A3372" s="11" t="s">
        <v>113</v>
      </c>
      <c r="B3372" s="9"/>
      <c r="C3372" s="9"/>
      <c r="D3372" s="9"/>
      <c r="E3372" s="9"/>
      <c r="F3372" s="9"/>
      <c r="G3372" s="9"/>
      <c r="H3372" s="9"/>
      <c r="I3372" s="9"/>
      <c r="J3372" s="9"/>
      <c r="K3372" s="9"/>
      <c r="L3372" s="9"/>
      <c r="M3372" s="9"/>
      <c r="N3372" s="9"/>
      <c r="O3372" s="9"/>
      <c r="P3372" s="9"/>
      <c r="Q3372" s="9"/>
      <c r="R3372" s="9"/>
      <c r="S3372" s="9"/>
      <c r="T3372" s="9"/>
      <c r="U3372" s="9"/>
      <c r="V3372" s="9"/>
      <c r="W3372" s="9"/>
      <c r="X3372" s="10"/>
    </row>
    <row r="3374" spans="1:24" ht="21" customHeight="1">
      <c r="A3374" s="1" t="s">
        <v>776</v>
      </c>
    </row>
    <row r="3375" spans="1:24">
      <c r="A3375" s="2" t="s">
        <v>255</v>
      </c>
    </row>
    <row r="3376" spans="1:24">
      <c r="A3376" s="12" t="s">
        <v>777</v>
      </c>
    </row>
    <row r="3377" spans="1:24">
      <c r="A3377" s="12" t="s">
        <v>778</v>
      </c>
    </row>
    <row r="3378" spans="1:24">
      <c r="A3378" s="2" t="s">
        <v>273</v>
      </c>
    </row>
    <row r="3380" spans="1:24" ht="30">
      <c r="B3380" s="3" t="s">
        <v>60</v>
      </c>
      <c r="C3380" s="3" t="s">
        <v>220</v>
      </c>
      <c r="D3380" s="3" t="s">
        <v>221</v>
      </c>
      <c r="E3380" s="3" t="s">
        <v>222</v>
      </c>
      <c r="F3380" s="3" t="s">
        <v>223</v>
      </c>
      <c r="G3380" s="3" t="s">
        <v>224</v>
      </c>
      <c r="H3380" s="3" t="s">
        <v>225</v>
      </c>
      <c r="I3380" s="3" t="s">
        <v>226</v>
      </c>
      <c r="J3380" s="3" t="s">
        <v>227</v>
      </c>
      <c r="K3380" s="3" t="s">
        <v>364</v>
      </c>
      <c r="L3380" s="3" t="s">
        <v>376</v>
      </c>
      <c r="M3380" s="3" t="s">
        <v>208</v>
      </c>
      <c r="N3380" s="3" t="s">
        <v>624</v>
      </c>
      <c r="O3380" s="3" t="s">
        <v>625</v>
      </c>
      <c r="P3380" s="3" t="s">
        <v>626</v>
      </c>
      <c r="Q3380" s="3" t="s">
        <v>627</v>
      </c>
      <c r="R3380" s="3" t="s">
        <v>628</v>
      </c>
      <c r="S3380" s="3" t="s">
        <v>629</v>
      </c>
      <c r="T3380" s="3" t="s">
        <v>630</v>
      </c>
      <c r="U3380" s="3" t="s">
        <v>631</v>
      </c>
      <c r="V3380" s="3" t="s">
        <v>632</v>
      </c>
      <c r="W3380" s="3" t="s">
        <v>633</v>
      </c>
    </row>
    <row r="3381" spans="1:24">
      <c r="A3381" s="11" t="s">
        <v>92</v>
      </c>
      <c r="B3381" s="9"/>
      <c r="C3381" s="9"/>
      <c r="D3381" s="9"/>
      <c r="E3381" s="9"/>
      <c r="F3381" s="9"/>
      <c r="G3381" s="9"/>
      <c r="H3381" s="9"/>
      <c r="I3381" s="9"/>
      <c r="J3381" s="9"/>
      <c r="K3381" s="9"/>
      <c r="L3381" s="9"/>
      <c r="M3381" s="9"/>
      <c r="N3381" s="9"/>
      <c r="O3381" s="9"/>
      <c r="P3381" s="9"/>
      <c r="Q3381" s="9"/>
      <c r="R3381" s="9"/>
      <c r="S3381" s="9"/>
      <c r="T3381" s="9"/>
      <c r="U3381" s="9"/>
      <c r="V3381" s="9"/>
      <c r="W3381" s="9"/>
      <c r="X3381" s="10"/>
    </row>
    <row r="3382" spans="1:24">
      <c r="A3382" s="11" t="s">
        <v>93</v>
      </c>
      <c r="B3382" s="9"/>
      <c r="C3382" s="9"/>
      <c r="D3382" s="9"/>
      <c r="E3382" s="9"/>
      <c r="F3382" s="9"/>
      <c r="G3382" s="9"/>
      <c r="H3382" s="9"/>
      <c r="I3382" s="9"/>
      <c r="J3382" s="9"/>
      <c r="K3382" s="9"/>
      <c r="L3382" s="9"/>
      <c r="M3382" s="9"/>
      <c r="N3382" s="9"/>
      <c r="O3382" s="9"/>
      <c r="P3382" s="9"/>
      <c r="Q3382" s="9"/>
      <c r="R3382" s="9"/>
      <c r="S3382" s="9"/>
      <c r="T3382" s="9"/>
      <c r="U3382" s="9"/>
      <c r="V3382" s="9"/>
      <c r="W3382" s="9"/>
      <c r="X3382" s="10"/>
    </row>
    <row r="3383" spans="1:24">
      <c r="A3383" s="11" t="s">
        <v>129</v>
      </c>
      <c r="B3383" s="9"/>
      <c r="C3383" s="9"/>
      <c r="D3383" s="9"/>
      <c r="E3383" s="9"/>
      <c r="F3383" s="9"/>
      <c r="G3383" s="9"/>
      <c r="H3383" s="9"/>
      <c r="I3383" s="9"/>
      <c r="J3383" s="9"/>
      <c r="K3383" s="9"/>
      <c r="L3383" s="9"/>
      <c r="M3383" s="9"/>
      <c r="N3383" s="9"/>
      <c r="O3383" s="9"/>
      <c r="P3383" s="9"/>
      <c r="Q3383" s="9"/>
      <c r="R3383" s="9"/>
      <c r="S3383" s="9"/>
      <c r="T3383" s="9"/>
      <c r="U3383" s="9"/>
      <c r="V3383" s="9"/>
      <c r="W3383" s="9"/>
      <c r="X3383" s="10"/>
    </row>
    <row r="3384" spans="1:24">
      <c r="A3384" s="11" t="s">
        <v>94</v>
      </c>
      <c r="B3384" s="9"/>
      <c r="C3384" s="9"/>
      <c r="D3384" s="9"/>
      <c r="E3384" s="9"/>
      <c r="F3384" s="9"/>
      <c r="G3384" s="9"/>
      <c r="H3384" s="9"/>
      <c r="I3384" s="9"/>
      <c r="J3384" s="9"/>
      <c r="K3384" s="9"/>
      <c r="L3384" s="9"/>
      <c r="M3384" s="9"/>
      <c r="N3384" s="9"/>
      <c r="O3384" s="9"/>
      <c r="P3384" s="9"/>
      <c r="Q3384" s="9"/>
      <c r="R3384" s="9"/>
      <c r="S3384" s="9"/>
      <c r="T3384" s="9"/>
      <c r="U3384" s="9"/>
      <c r="V3384" s="9"/>
      <c r="W3384" s="9"/>
      <c r="X3384" s="10"/>
    </row>
    <row r="3385" spans="1:24">
      <c r="A3385" s="11" t="s">
        <v>95</v>
      </c>
      <c r="B3385" s="9"/>
      <c r="C3385" s="9"/>
      <c r="D3385" s="9"/>
      <c r="E3385" s="9"/>
      <c r="F3385" s="9"/>
      <c r="G3385" s="9"/>
      <c r="H3385" s="9"/>
      <c r="I3385" s="9"/>
      <c r="J3385" s="9"/>
      <c r="K3385" s="9"/>
      <c r="L3385" s="9"/>
      <c r="M3385" s="9"/>
      <c r="N3385" s="9"/>
      <c r="O3385" s="9"/>
      <c r="P3385" s="9"/>
      <c r="Q3385" s="9"/>
      <c r="R3385" s="9"/>
      <c r="S3385" s="9"/>
      <c r="T3385" s="9"/>
      <c r="U3385" s="9"/>
      <c r="V3385" s="9"/>
      <c r="W3385" s="9"/>
      <c r="X3385" s="10"/>
    </row>
    <row r="3386" spans="1:24">
      <c r="A3386" s="11" t="s">
        <v>130</v>
      </c>
      <c r="B3386" s="9"/>
      <c r="C3386" s="9"/>
      <c r="D3386" s="9"/>
      <c r="E3386" s="9"/>
      <c r="F3386" s="9"/>
      <c r="G3386" s="9"/>
      <c r="H3386" s="9"/>
      <c r="I3386" s="9"/>
      <c r="J3386" s="9"/>
      <c r="K3386" s="9"/>
      <c r="L3386" s="9"/>
      <c r="M3386" s="9"/>
      <c r="N3386" s="9"/>
      <c r="O3386" s="9"/>
      <c r="P3386" s="9"/>
      <c r="Q3386" s="9"/>
      <c r="R3386" s="9"/>
      <c r="S3386" s="9"/>
      <c r="T3386" s="9"/>
      <c r="U3386" s="9"/>
      <c r="V3386" s="9"/>
      <c r="W3386" s="9"/>
      <c r="X3386" s="10"/>
    </row>
    <row r="3387" spans="1:24">
      <c r="A3387" s="11" t="s">
        <v>96</v>
      </c>
      <c r="B3387" s="9"/>
      <c r="C3387" s="9"/>
      <c r="D3387" s="9"/>
      <c r="E3387" s="9"/>
      <c r="F3387" s="9"/>
      <c r="G3387" s="9"/>
      <c r="H3387" s="9"/>
      <c r="I3387" s="9"/>
      <c r="J3387" s="9"/>
      <c r="K3387" s="9"/>
      <c r="L3387" s="9"/>
      <c r="M3387" s="9"/>
      <c r="N3387" s="9"/>
      <c r="O3387" s="9"/>
      <c r="P3387" s="9"/>
      <c r="Q3387" s="9"/>
      <c r="R3387" s="9"/>
      <c r="S3387" s="9"/>
      <c r="T3387" s="9"/>
      <c r="U3387" s="9"/>
      <c r="V3387" s="9"/>
      <c r="W3387" s="9"/>
      <c r="X3387" s="10"/>
    </row>
    <row r="3388" spans="1:24">
      <c r="A3388" s="11" t="s">
        <v>97</v>
      </c>
      <c r="B3388" s="9"/>
      <c r="C3388" s="9"/>
      <c r="D3388" s="9"/>
      <c r="E3388" s="9"/>
      <c r="F3388" s="9"/>
      <c r="G3388" s="9"/>
      <c r="H3388" s="9"/>
      <c r="I3388" s="9"/>
      <c r="J3388" s="9"/>
      <c r="K3388" s="9"/>
      <c r="L3388" s="9"/>
      <c r="M3388" s="9"/>
      <c r="N3388" s="9"/>
      <c r="O3388" s="9"/>
      <c r="P3388" s="9"/>
      <c r="Q3388" s="9"/>
      <c r="R3388" s="9"/>
      <c r="S3388" s="9"/>
      <c r="T3388" s="9"/>
      <c r="U3388" s="9"/>
      <c r="V3388" s="9"/>
      <c r="W3388" s="9"/>
      <c r="X3388" s="10"/>
    </row>
    <row r="3389" spans="1:24">
      <c r="A3389" s="11" t="s">
        <v>110</v>
      </c>
      <c r="B3389" s="9"/>
      <c r="C3389" s="9"/>
      <c r="D3389" s="9"/>
      <c r="E3389" s="9"/>
      <c r="F3389" s="9"/>
      <c r="G3389" s="9"/>
      <c r="H3389" s="9"/>
      <c r="I3389" s="9"/>
      <c r="J3389" s="9"/>
      <c r="K3389" s="9"/>
      <c r="L3389" s="9"/>
      <c r="M3389" s="9"/>
      <c r="N3389" s="9"/>
      <c r="O3389" s="9"/>
      <c r="P3389" s="9"/>
      <c r="Q3389" s="9"/>
      <c r="R3389" s="9"/>
      <c r="S3389" s="9"/>
      <c r="T3389" s="9"/>
      <c r="U3389" s="9"/>
      <c r="V3389" s="9"/>
      <c r="W3389" s="9"/>
      <c r="X3389" s="10"/>
    </row>
    <row r="3390" spans="1:24">
      <c r="A3390" s="11" t="s">
        <v>1647</v>
      </c>
      <c r="B3390" s="9"/>
      <c r="C3390" s="9"/>
      <c r="D3390" s="9"/>
      <c r="E3390" s="9"/>
      <c r="F3390" s="9"/>
      <c r="G3390" s="9"/>
      <c r="H3390" s="9"/>
      <c r="I3390" s="9"/>
      <c r="J3390" s="9"/>
      <c r="K3390" s="9"/>
      <c r="L3390" s="9"/>
      <c r="M3390" s="9"/>
      <c r="N3390" s="9"/>
      <c r="O3390" s="9"/>
      <c r="P3390" s="9"/>
      <c r="Q3390" s="9"/>
      <c r="R3390" s="9"/>
      <c r="S3390" s="9"/>
      <c r="T3390" s="9"/>
      <c r="U3390" s="9"/>
      <c r="V3390" s="9"/>
      <c r="W3390" s="9"/>
      <c r="X3390" s="10"/>
    </row>
    <row r="3391" spans="1:24">
      <c r="A3391" s="11" t="s">
        <v>1646</v>
      </c>
      <c r="B3391" s="9"/>
      <c r="C3391" s="9"/>
      <c r="D3391" s="9"/>
      <c r="E3391" s="9"/>
      <c r="F3391" s="9"/>
      <c r="G3391" s="9"/>
      <c r="H3391" s="9"/>
      <c r="I3391" s="9"/>
      <c r="J3391" s="9"/>
      <c r="K3391" s="9"/>
      <c r="L3391" s="9"/>
      <c r="M3391" s="9"/>
      <c r="N3391" s="9"/>
      <c r="O3391" s="9"/>
      <c r="P3391" s="9"/>
      <c r="Q3391" s="9"/>
      <c r="R3391" s="9"/>
      <c r="S3391" s="9"/>
      <c r="T3391" s="9"/>
      <c r="U3391" s="9"/>
      <c r="V3391" s="9"/>
      <c r="W3391" s="9"/>
      <c r="X3391" s="10"/>
    </row>
    <row r="3392" spans="1:24">
      <c r="A3392" s="11" t="s">
        <v>98</v>
      </c>
      <c r="B3392" s="7">
        <f>$B$3121</f>
        <v>0</v>
      </c>
      <c r="C3392" s="7">
        <f>$C$3121</f>
        <v>8.0161614219396479E-2</v>
      </c>
      <c r="D3392" s="7">
        <f>$D$3121</f>
        <v>7.0803276466376141E-3</v>
      </c>
      <c r="E3392" s="7">
        <f>$E$3121</f>
        <v>2.1009930327611406E-2</v>
      </c>
      <c r="F3392" s="7">
        <f>$F$3121</f>
        <v>4.5696232745499367E-3</v>
      </c>
      <c r="G3392" s="7">
        <f>$G$3121</f>
        <v>1.4714874452335261E-3</v>
      </c>
      <c r="H3392" s="7">
        <f>$H$3121</f>
        <v>1.7634121617823358E-2</v>
      </c>
      <c r="I3392" s="7">
        <f>$I$3121</f>
        <v>0</v>
      </c>
      <c r="J3392" s="7">
        <f>$J$3121</f>
        <v>0</v>
      </c>
      <c r="K3392" s="9"/>
      <c r="L3392" s="9"/>
      <c r="M3392" s="7">
        <f>$K$3121</f>
        <v>2.8592623415856222E-2</v>
      </c>
      <c r="N3392" s="7">
        <f>$L$3121</f>
        <v>4.2114477508247081E-2</v>
      </c>
      <c r="O3392" s="7">
        <f>$M$3121</f>
        <v>3.7197891076548328E-3</v>
      </c>
      <c r="P3392" s="7">
        <f>$N$3121</f>
        <v>1.1037979297801252E-2</v>
      </c>
      <c r="Q3392" s="7">
        <f>$O$3121</f>
        <v>9.602965134433622E-3</v>
      </c>
      <c r="R3392" s="7">
        <f>$P$3121</f>
        <v>3.0922992516765153E-3</v>
      </c>
      <c r="S3392" s="7">
        <f>$Q$3121</f>
        <v>3.7057727715858212E-2</v>
      </c>
      <c r="T3392" s="7">
        <f>$R$3121</f>
        <v>0</v>
      </c>
      <c r="U3392" s="7">
        <f>$S$3121</f>
        <v>0</v>
      </c>
      <c r="V3392" s="9"/>
      <c r="W3392" s="9"/>
      <c r="X3392" s="10"/>
    </row>
    <row r="3393" spans="1:24">
      <c r="A3393" s="11" t="s">
        <v>99</v>
      </c>
      <c r="B3393" s="7">
        <f>$B$3122</f>
        <v>0</v>
      </c>
      <c r="C3393" s="7">
        <f>$C$3122</f>
        <v>7.8610099105472703E-2</v>
      </c>
      <c r="D3393" s="7">
        <f>$D$3122</f>
        <v>6.9432890470252744E-3</v>
      </c>
      <c r="E3393" s="7">
        <f>$E$3122</f>
        <v>2.0603286514818929E-2</v>
      </c>
      <c r="F3393" s="7">
        <f>$F$3122</f>
        <v>4.4811789531070357E-3</v>
      </c>
      <c r="G3393" s="7">
        <f>$G$3122</f>
        <v>1.4430070430677161E-3</v>
      </c>
      <c r="H3393" s="7">
        <f>$H$3122</f>
        <v>0</v>
      </c>
      <c r="I3393" s="7">
        <f>$I$3122</f>
        <v>0</v>
      </c>
      <c r="J3393" s="7">
        <f>$J$3122</f>
        <v>0</v>
      </c>
      <c r="K3393" s="9"/>
      <c r="L3393" s="9"/>
      <c r="M3393" s="7">
        <f>$K$3122</f>
        <v>2.8039217801355779E-2</v>
      </c>
      <c r="N3393" s="7">
        <f>$L$3122</f>
        <v>4.1299358588732626E-2</v>
      </c>
      <c r="O3393" s="7">
        <f>$M$3122</f>
        <v>3.6477931894421589E-3</v>
      </c>
      <c r="P3393" s="7">
        <f>$N$3122</f>
        <v>1.0824340988811548E-2</v>
      </c>
      <c r="Q3393" s="7">
        <f>$O$3122</f>
        <v>9.4171012931220065E-3</v>
      </c>
      <c r="R3393" s="7">
        <f>$P$3122</f>
        <v>3.0324482984182602E-3</v>
      </c>
      <c r="S3393" s="7">
        <f>$Q$3122</f>
        <v>0</v>
      </c>
      <c r="T3393" s="7">
        <f>$R$3122</f>
        <v>0</v>
      </c>
      <c r="U3393" s="7">
        <f>$S$3122</f>
        <v>0</v>
      </c>
      <c r="V3393" s="9"/>
      <c r="W3393" s="9"/>
      <c r="X3393" s="10"/>
    </row>
    <row r="3394" spans="1:24">
      <c r="A3394" s="11" t="s">
        <v>111</v>
      </c>
      <c r="B3394" s="7">
        <f>$B$3123</f>
        <v>0</v>
      </c>
      <c r="C3394" s="7">
        <f>$C$3123</f>
        <v>6.4253029410163615E-2</v>
      </c>
      <c r="D3394" s="7">
        <f>$D$3123</f>
        <v>3.8639600756701677E-3</v>
      </c>
      <c r="E3394" s="7">
        <f>$E$3123</f>
        <v>9.1726299719538783E-3</v>
      </c>
      <c r="F3394" s="7">
        <f>$F$3123</f>
        <v>0</v>
      </c>
      <c r="G3394" s="7">
        <f>$G$3123</f>
        <v>0</v>
      </c>
      <c r="H3394" s="7">
        <f>$H$3123</f>
        <v>0</v>
      </c>
      <c r="I3394" s="7">
        <f>$I$3123</f>
        <v>0</v>
      </c>
      <c r="J3394" s="7">
        <f>$J$3123</f>
        <v>0</v>
      </c>
      <c r="K3394" s="9"/>
      <c r="L3394" s="9"/>
      <c r="M3394" s="7">
        <f>$K$3123</f>
        <v>2.438110054086064E-2</v>
      </c>
      <c r="N3394" s="7">
        <f>$L$3123</f>
        <v>3.3756590211931066E-2</v>
      </c>
      <c r="O3394" s="7">
        <f>$M$3123</f>
        <v>3.1718863605301995E-3</v>
      </c>
      <c r="P3394" s="7">
        <f>$N$3123</f>
        <v>7.5297206307663126E-3</v>
      </c>
      <c r="Q3394" s="7">
        <f>$O$3123</f>
        <v>0</v>
      </c>
      <c r="R3394" s="7">
        <f>$P$3123</f>
        <v>0</v>
      </c>
      <c r="S3394" s="7">
        <f>$Q$3123</f>
        <v>0</v>
      </c>
      <c r="T3394" s="7">
        <f>$R$3123</f>
        <v>0</v>
      </c>
      <c r="U3394" s="7">
        <f>$S$3123</f>
        <v>0</v>
      </c>
      <c r="V3394" s="9"/>
      <c r="W3394" s="9"/>
      <c r="X3394" s="10"/>
    </row>
    <row r="3395" spans="1:24">
      <c r="A3395" s="11" t="s">
        <v>131</v>
      </c>
      <c r="B3395" s="9"/>
      <c r="C3395" s="9"/>
      <c r="D3395" s="9"/>
      <c r="E3395" s="9"/>
      <c r="F3395" s="9"/>
      <c r="G3395" s="9"/>
      <c r="H3395" s="9"/>
      <c r="I3395" s="9"/>
      <c r="J3395" s="9"/>
      <c r="K3395" s="9"/>
      <c r="L3395" s="9"/>
      <c r="M3395" s="9"/>
      <c r="N3395" s="9"/>
      <c r="O3395" s="9"/>
      <c r="P3395" s="9"/>
      <c r="Q3395" s="9"/>
      <c r="R3395" s="9"/>
      <c r="S3395" s="9"/>
      <c r="T3395" s="9"/>
      <c r="U3395" s="9"/>
      <c r="V3395" s="9"/>
      <c r="W3395" s="9"/>
      <c r="X3395" s="10"/>
    </row>
    <row r="3396" spans="1:24">
      <c r="A3396" s="11" t="s">
        <v>132</v>
      </c>
      <c r="B3396" s="9"/>
      <c r="C3396" s="9"/>
      <c r="D3396" s="9"/>
      <c r="E3396" s="9"/>
      <c r="F3396" s="9"/>
      <c r="G3396" s="9"/>
      <c r="H3396" s="9"/>
      <c r="I3396" s="9"/>
      <c r="J3396" s="9"/>
      <c r="K3396" s="9"/>
      <c r="L3396" s="9"/>
      <c r="M3396" s="9"/>
      <c r="N3396" s="9"/>
      <c r="O3396" s="9"/>
      <c r="P3396" s="9"/>
      <c r="Q3396" s="9"/>
      <c r="R3396" s="9"/>
      <c r="S3396" s="9"/>
      <c r="T3396" s="9"/>
      <c r="U3396" s="9"/>
      <c r="V3396" s="9"/>
      <c r="W3396" s="9"/>
      <c r="X3396" s="10"/>
    </row>
    <row r="3397" spans="1:24">
      <c r="A3397" s="11" t="s">
        <v>133</v>
      </c>
      <c r="B3397" s="9"/>
      <c r="C3397" s="9"/>
      <c r="D3397" s="9"/>
      <c r="E3397" s="9"/>
      <c r="F3397" s="9"/>
      <c r="G3397" s="9"/>
      <c r="H3397" s="9"/>
      <c r="I3397" s="9"/>
      <c r="J3397" s="9"/>
      <c r="K3397" s="9"/>
      <c r="L3397" s="9"/>
      <c r="M3397" s="9"/>
      <c r="N3397" s="9"/>
      <c r="O3397" s="9"/>
      <c r="P3397" s="9"/>
      <c r="Q3397" s="9"/>
      <c r="R3397" s="9"/>
      <c r="S3397" s="9"/>
      <c r="T3397" s="9"/>
      <c r="U3397" s="9"/>
      <c r="V3397" s="9"/>
      <c r="W3397" s="9"/>
      <c r="X3397" s="10"/>
    </row>
    <row r="3398" spans="1:24">
      <c r="A3398" s="11" t="s">
        <v>134</v>
      </c>
      <c r="B3398" s="9"/>
      <c r="C3398" s="9"/>
      <c r="D3398" s="9"/>
      <c r="E3398" s="9"/>
      <c r="F3398" s="9"/>
      <c r="G3398" s="9"/>
      <c r="H3398" s="9"/>
      <c r="I3398" s="9"/>
      <c r="J3398" s="9"/>
      <c r="K3398" s="9"/>
      <c r="L3398" s="9"/>
      <c r="M3398" s="9"/>
      <c r="N3398" s="9"/>
      <c r="O3398" s="9"/>
      <c r="P3398" s="9"/>
      <c r="Q3398" s="9"/>
      <c r="R3398" s="9"/>
      <c r="S3398" s="9"/>
      <c r="T3398" s="9"/>
      <c r="U3398" s="9"/>
      <c r="V3398" s="9"/>
      <c r="W3398" s="9"/>
      <c r="X3398" s="10"/>
    </row>
    <row r="3399" spans="1:24">
      <c r="A3399" s="11" t="s">
        <v>135</v>
      </c>
      <c r="B3399" s="9"/>
      <c r="C3399" s="9"/>
      <c r="D3399" s="9"/>
      <c r="E3399" s="9"/>
      <c r="F3399" s="9"/>
      <c r="G3399" s="9"/>
      <c r="H3399" s="9"/>
      <c r="I3399" s="9"/>
      <c r="J3399" s="9"/>
      <c r="K3399" s="9"/>
      <c r="L3399" s="9"/>
      <c r="M3399" s="9"/>
      <c r="N3399" s="9"/>
      <c r="O3399" s="9"/>
      <c r="P3399" s="9"/>
      <c r="Q3399" s="9"/>
      <c r="R3399" s="9"/>
      <c r="S3399" s="9"/>
      <c r="T3399" s="9"/>
      <c r="U3399" s="9"/>
      <c r="V3399" s="9"/>
      <c r="W3399" s="9"/>
      <c r="X3399" s="10"/>
    </row>
    <row r="3400" spans="1:24">
      <c r="A3400" s="11" t="s">
        <v>1645</v>
      </c>
      <c r="B3400" s="9"/>
      <c r="C3400" s="9"/>
      <c r="D3400" s="9"/>
      <c r="E3400" s="9"/>
      <c r="F3400" s="9"/>
      <c r="G3400" s="9"/>
      <c r="H3400" s="9"/>
      <c r="I3400" s="9"/>
      <c r="J3400" s="9"/>
      <c r="K3400" s="9"/>
      <c r="L3400" s="9"/>
      <c r="M3400" s="9"/>
      <c r="N3400" s="9"/>
      <c r="O3400" s="9"/>
      <c r="P3400" s="9"/>
      <c r="Q3400" s="9"/>
      <c r="R3400" s="9"/>
      <c r="S3400" s="9"/>
      <c r="T3400" s="9"/>
      <c r="U3400" s="9"/>
      <c r="V3400" s="9"/>
      <c r="W3400" s="9"/>
      <c r="X3400" s="10"/>
    </row>
    <row r="3401" spans="1:24">
      <c r="A3401" s="11" t="s">
        <v>100</v>
      </c>
      <c r="B3401" s="9"/>
      <c r="C3401" s="9"/>
      <c r="D3401" s="9"/>
      <c r="E3401" s="9"/>
      <c r="F3401" s="9"/>
      <c r="G3401" s="9"/>
      <c r="H3401" s="9"/>
      <c r="I3401" s="9"/>
      <c r="J3401" s="9"/>
      <c r="K3401" s="9"/>
      <c r="L3401" s="9"/>
      <c r="M3401" s="9"/>
      <c r="N3401" s="9"/>
      <c r="O3401" s="9"/>
      <c r="P3401" s="9"/>
      <c r="Q3401" s="9"/>
      <c r="R3401" s="9"/>
      <c r="S3401" s="9"/>
      <c r="T3401" s="9"/>
      <c r="U3401" s="9"/>
      <c r="V3401" s="9"/>
      <c r="W3401" s="9"/>
      <c r="X3401" s="10"/>
    </row>
    <row r="3402" spans="1:24">
      <c r="A3402" s="11" t="s">
        <v>101</v>
      </c>
      <c r="B3402" s="7">
        <f>$B$3177</f>
        <v>0</v>
      </c>
      <c r="C3402" s="7">
        <f>$C$3177</f>
        <v>6.1583558438289311E-2</v>
      </c>
      <c r="D3402" s="7">
        <f>$D$3177</f>
        <v>7.7705836717658176E-3</v>
      </c>
      <c r="E3402" s="7">
        <f>$E$3177</f>
        <v>2.3058173250810662E-2</v>
      </c>
      <c r="F3402" s="7">
        <f>$F$3177</f>
        <v>5.0151125449966333E-3</v>
      </c>
      <c r="G3402" s="7">
        <f>$G$3177</f>
        <v>3.7681972831671911E-3</v>
      </c>
      <c r="H3402" s="7">
        <f>$H$3177</f>
        <v>1.693410196598118E-2</v>
      </c>
      <c r="I3402" s="7">
        <f>$I$3177</f>
        <v>1.3084354368349867E-3</v>
      </c>
      <c r="J3402" s="7">
        <f>$J$3177</f>
        <v>2.6947837575182943E-3</v>
      </c>
      <c r="K3402" s="9"/>
      <c r="L3402" s="9"/>
      <c r="M3402" s="7">
        <f>$K$3177</f>
        <v>2.1966068325609097E-2</v>
      </c>
      <c r="N3402" s="7">
        <f>$L$3177</f>
        <v>3.2354131238285358E-2</v>
      </c>
      <c r="O3402" s="7">
        <f>$M$3177</f>
        <v>4.0824286593688468E-3</v>
      </c>
      <c r="P3402" s="7">
        <f>$N$3177</f>
        <v>1.211406392210051E-2</v>
      </c>
      <c r="Q3402" s="7">
        <f>$O$3177</f>
        <v>1.0539151265069359E-2</v>
      </c>
      <c r="R3402" s="7">
        <f>$P$3177</f>
        <v>7.9187856319481824E-3</v>
      </c>
      <c r="S3402" s="7">
        <f>$Q$3177</f>
        <v>3.5586651457231423E-2</v>
      </c>
      <c r="T3402" s="7">
        <f>$R$3177</f>
        <v>1.3748244795760881E-2</v>
      </c>
      <c r="U3402" s="7">
        <f>$S$3177</f>
        <v>2.8315150848879242E-2</v>
      </c>
      <c r="V3402" s="9"/>
      <c r="W3402" s="9"/>
      <c r="X3402" s="10"/>
    </row>
    <row r="3403" spans="1:24">
      <c r="A3403" s="11" t="s">
        <v>102</v>
      </c>
      <c r="B3403" s="7">
        <f>$B$3178</f>
        <v>0</v>
      </c>
      <c r="C3403" s="7">
        <f>$C$3178</f>
        <v>6.1583558438289311E-2</v>
      </c>
      <c r="D3403" s="7">
        <f>$D$3178</f>
        <v>7.7705836717658176E-3</v>
      </c>
      <c r="E3403" s="7">
        <f>$E$3178</f>
        <v>2.3058173250810662E-2</v>
      </c>
      <c r="F3403" s="7">
        <f>$F$3178</f>
        <v>5.0151125449966333E-3</v>
      </c>
      <c r="G3403" s="7">
        <f>$G$3178</f>
        <v>3.7681972831671911E-3</v>
      </c>
      <c r="H3403" s="7">
        <f>$H$3178</f>
        <v>1.693410196598118E-2</v>
      </c>
      <c r="I3403" s="7">
        <f>$I$3178</f>
        <v>1.3084354368349867E-3</v>
      </c>
      <c r="J3403" s="7">
        <f>$J$3178</f>
        <v>2.6947837575182943E-3</v>
      </c>
      <c r="K3403" s="9"/>
      <c r="L3403" s="9"/>
      <c r="M3403" s="7">
        <f>$K$3178</f>
        <v>2.1966068325609097E-2</v>
      </c>
      <c r="N3403" s="7">
        <f>$L$3178</f>
        <v>3.2354131238285358E-2</v>
      </c>
      <c r="O3403" s="7">
        <f>$M$3178</f>
        <v>4.0824286593688468E-3</v>
      </c>
      <c r="P3403" s="7">
        <f>$N$3178</f>
        <v>1.211406392210051E-2</v>
      </c>
      <c r="Q3403" s="7">
        <f>$O$3178</f>
        <v>1.0539151265069359E-2</v>
      </c>
      <c r="R3403" s="7">
        <f>$P$3178</f>
        <v>7.9187856319481824E-3</v>
      </c>
      <c r="S3403" s="7">
        <f>$Q$3178</f>
        <v>3.5586651457231423E-2</v>
      </c>
      <c r="T3403" s="7">
        <f>$R$3178</f>
        <v>1.3748244795760881E-2</v>
      </c>
      <c r="U3403" s="7">
        <f>$S$3178</f>
        <v>2.8315150848879242E-2</v>
      </c>
      <c r="V3403" s="9"/>
      <c r="W3403" s="9"/>
      <c r="X3403" s="10"/>
    </row>
    <row r="3404" spans="1:24">
      <c r="A3404" s="11" t="s">
        <v>103</v>
      </c>
      <c r="B3404" s="7">
        <f>$B$3179</f>
        <v>0</v>
      </c>
      <c r="C3404" s="7">
        <f>$C$3179</f>
        <v>6.0391618597548241E-2</v>
      </c>
      <c r="D3404" s="7">
        <f>$D$3179</f>
        <v>7.6201852781187353E-3</v>
      </c>
      <c r="E3404" s="7">
        <f>$E$3179</f>
        <v>2.2611886026601427E-2</v>
      </c>
      <c r="F3404" s="7">
        <f>$F$3179</f>
        <v>4.918045850577344E-3</v>
      </c>
      <c r="G3404" s="7">
        <f>$G$3179</f>
        <v>3.6952644325252471E-3</v>
      </c>
      <c r="H3404" s="7">
        <f>$H$3179</f>
        <v>1.6606345153736386E-2</v>
      </c>
      <c r="I3404" s="7">
        <f>$I$3179</f>
        <v>1.2831108799930193E-3</v>
      </c>
      <c r="J3404" s="7">
        <f>$J$3179</f>
        <v>0</v>
      </c>
      <c r="K3404" s="9"/>
      <c r="L3404" s="9"/>
      <c r="M3404" s="7">
        <f>$K$3179</f>
        <v>2.1540918616081182E-2</v>
      </c>
      <c r="N3404" s="7">
        <f>$L$3179</f>
        <v>3.1727922246576612E-2</v>
      </c>
      <c r="O3404" s="7">
        <f>$M$3179</f>
        <v>4.0034139111229999E-3</v>
      </c>
      <c r="P3404" s="7">
        <f>$N$3179</f>
        <v>1.1879598168769535E-2</v>
      </c>
      <c r="Q3404" s="7">
        <f>$O$3179</f>
        <v>1.0335167692197047E-2</v>
      </c>
      <c r="R3404" s="7">
        <f>$P$3179</f>
        <v>7.7655188132653152E-3</v>
      </c>
      <c r="S3404" s="7">
        <f>$Q$3179</f>
        <v>3.4897877558059211E-2</v>
      </c>
      <c r="T3404" s="7">
        <f>$R$3179</f>
        <v>1.3482149735197766E-2</v>
      </c>
      <c r="U3404" s="7">
        <f>$S$3179</f>
        <v>0</v>
      </c>
      <c r="V3404" s="9"/>
      <c r="W3404" s="9"/>
      <c r="X3404" s="10"/>
    </row>
    <row r="3405" spans="1:24">
      <c r="A3405" s="11" t="s">
        <v>104</v>
      </c>
      <c r="B3405" s="7">
        <f>$B$3180</f>
        <v>0</v>
      </c>
      <c r="C3405" s="7">
        <f>$C$3180</f>
        <v>6.0391618597548241E-2</v>
      </c>
      <c r="D3405" s="7">
        <f>$D$3180</f>
        <v>7.6201852781187353E-3</v>
      </c>
      <c r="E3405" s="7">
        <f>$E$3180</f>
        <v>2.2611886026601427E-2</v>
      </c>
      <c r="F3405" s="7">
        <f>$F$3180</f>
        <v>4.918045850577344E-3</v>
      </c>
      <c r="G3405" s="7">
        <f>$G$3180</f>
        <v>3.6952644325252471E-3</v>
      </c>
      <c r="H3405" s="7">
        <f>$H$3180</f>
        <v>1.6606345153736386E-2</v>
      </c>
      <c r="I3405" s="7">
        <f>$I$3180</f>
        <v>1.2831108799930193E-3</v>
      </c>
      <c r="J3405" s="7">
        <f>$J$3180</f>
        <v>0</v>
      </c>
      <c r="K3405" s="9"/>
      <c r="L3405" s="9"/>
      <c r="M3405" s="7">
        <f>$K$3180</f>
        <v>2.1540918616081182E-2</v>
      </c>
      <c r="N3405" s="7">
        <f>$L$3180</f>
        <v>3.1727922246576612E-2</v>
      </c>
      <c r="O3405" s="7">
        <f>$M$3180</f>
        <v>4.0034139111229999E-3</v>
      </c>
      <c r="P3405" s="7">
        <f>$N$3180</f>
        <v>1.1879598168769535E-2</v>
      </c>
      <c r="Q3405" s="7">
        <f>$O$3180</f>
        <v>1.0335167692197047E-2</v>
      </c>
      <c r="R3405" s="7">
        <f>$P$3180</f>
        <v>7.7655188132653152E-3</v>
      </c>
      <c r="S3405" s="7">
        <f>$Q$3180</f>
        <v>3.4897877558059211E-2</v>
      </c>
      <c r="T3405" s="7">
        <f>$R$3180</f>
        <v>1.3482149735197766E-2</v>
      </c>
      <c r="U3405" s="7">
        <f>$S$3180</f>
        <v>0</v>
      </c>
      <c r="V3405" s="9"/>
      <c r="W3405" s="9"/>
      <c r="X3405" s="10"/>
    </row>
    <row r="3406" spans="1:24">
      <c r="A3406" s="11" t="s">
        <v>112</v>
      </c>
      <c r="B3406" s="7">
        <f>$B$3181</f>
        <v>0</v>
      </c>
      <c r="C3406" s="7">
        <f>$C$3181</f>
        <v>5.925076189283892E-2</v>
      </c>
      <c r="D3406" s="7">
        <f>$D$3181</f>
        <v>4.7847888191447519E-3</v>
      </c>
      <c r="E3406" s="7">
        <f>$E$3181</f>
        <v>1.4198224254537883E-2</v>
      </c>
      <c r="F3406" s="7">
        <f>$F$3181</f>
        <v>1.7370500966450825E-3</v>
      </c>
      <c r="G3406" s="7">
        <f>$G$3181</f>
        <v>1.3051646191736066E-3</v>
      </c>
      <c r="H3406" s="7">
        <f>$H$3181</f>
        <v>5.8653486223258899E-3</v>
      </c>
      <c r="I3406" s="7">
        <f>$I$3181</f>
        <v>0</v>
      </c>
      <c r="J3406" s="7">
        <f>$J$3181</f>
        <v>0</v>
      </c>
      <c r="K3406" s="9"/>
      <c r="L3406" s="9"/>
      <c r="M3406" s="7">
        <f>$K$3181</f>
        <v>2.1133989608390174E-2</v>
      </c>
      <c r="N3406" s="7">
        <f>$L$3181</f>
        <v>3.1128550783083953E-2</v>
      </c>
      <c r="O3406" s="7">
        <f>$M$3181</f>
        <v>3.9277855092305436E-3</v>
      </c>
      <c r="P3406" s="7">
        <f>$N$3181</f>
        <v>1.1655180947724168E-2</v>
      </c>
      <c r="Q3406" s="7">
        <f>$O$3181</f>
        <v>1.0139926272447834E-2</v>
      </c>
      <c r="R3406" s="7">
        <f>$P$3181</f>
        <v>7.6188205725259981E-3</v>
      </c>
      <c r="S3406" s="7">
        <f>$Q$3181</f>
        <v>3.4238622540280081E-2</v>
      </c>
      <c r="T3406" s="7">
        <f>$R$3181</f>
        <v>0</v>
      </c>
      <c r="U3406" s="7">
        <f>$S$3181</f>
        <v>0</v>
      </c>
      <c r="V3406" s="9"/>
      <c r="W3406" s="9"/>
      <c r="X3406" s="10"/>
    </row>
    <row r="3407" spans="1:24">
      <c r="A3407" s="11" t="s">
        <v>113</v>
      </c>
      <c r="B3407" s="7">
        <f>$B$3182</f>
        <v>0</v>
      </c>
      <c r="C3407" s="7">
        <f>$C$3182</f>
        <v>5.925076189283892E-2</v>
      </c>
      <c r="D3407" s="7">
        <f>$D$3182</f>
        <v>4.7847888191447519E-3</v>
      </c>
      <c r="E3407" s="7">
        <f>$E$3182</f>
        <v>1.4198224254537883E-2</v>
      </c>
      <c r="F3407" s="7">
        <f>$F$3182</f>
        <v>1.7370500966450825E-3</v>
      </c>
      <c r="G3407" s="7">
        <f>$G$3182</f>
        <v>1.3051646191736066E-3</v>
      </c>
      <c r="H3407" s="7">
        <f>$H$3182</f>
        <v>5.8653486223258899E-3</v>
      </c>
      <c r="I3407" s="7">
        <f>$I$3182</f>
        <v>0</v>
      </c>
      <c r="J3407" s="7">
        <f>$J$3182</f>
        <v>0</v>
      </c>
      <c r="K3407" s="9"/>
      <c r="L3407" s="9"/>
      <c r="M3407" s="7">
        <f>$K$3182</f>
        <v>2.1133989608390174E-2</v>
      </c>
      <c r="N3407" s="7">
        <f>$L$3182</f>
        <v>3.1128550783083953E-2</v>
      </c>
      <c r="O3407" s="7">
        <f>$M$3182</f>
        <v>3.9277855092305436E-3</v>
      </c>
      <c r="P3407" s="7">
        <f>$N$3182</f>
        <v>1.1655180947724168E-2</v>
      </c>
      <c r="Q3407" s="7">
        <f>$O$3182</f>
        <v>1.0139926272447834E-2</v>
      </c>
      <c r="R3407" s="7">
        <f>$P$3182</f>
        <v>7.6188205725259981E-3</v>
      </c>
      <c r="S3407" s="7">
        <f>$Q$3182</f>
        <v>3.4238622540280081E-2</v>
      </c>
      <c r="T3407" s="7">
        <f>$R$3182</f>
        <v>0</v>
      </c>
      <c r="U3407" s="7">
        <f>$S$3182</f>
        <v>0</v>
      </c>
      <c r="V3407" s="9"/>
      <c r="W3407" s="9"/>
      <c r="X3407" s="10"/>
    </row>
    <row r="3409" spans="1:8" ht="21" customHeight="1">
      <c r="A3409" s="1" t="s">
        <v>779</v>
      </c>
    </row>
    <row r="3410" spans="1:8">
      <c r="A3410" s="2" t="s">
        <v>255</v>
      </c>
    </row>
    <row r="3411" spans="1:8">
      <c r="A3411" s="12" t="s">
        <v>780</v>
      </c>
    </row>
    <row r="3412" spans="1:8">
      <c r="A3412" s="12" t="s">
        <v>781</v>
      </c>
    </row>
    <row r="3413" spans="1:8">
      <c r="A3413" s="12" t="s">
        <v>782</v>
      </c>
    </row>
    <row r="3414" spans="1:8">
      <c r="A3414" s="12" t="s">
        <v>783</v>
      </c>
    </row>
    <row r="3415" spans="1:8">
      <c r="A3415" s="12" t="s">
        <v>784</v>
      </c>
    </row>
    <row r="3416" spans="1:8">
      <c r="A3416" s="12" t="s">
        <v>785</v>
      </c>
    </row>
    <row r="3417" spans="1:8">
      <c r="A3417" s="21" t="s">
        <v>258</v>
      </c>
      <c r="B3417" s="21" t="s">
        <v>386</v>
      </c>
      <c r="C3417" s="21" t="s">
        <v>386</v>
      </c>
      <c r="D3417" s="21" t="s">
        <v>386</v>
      </c>
      <c r="E3417" s="21" t="s">
        <v>386</v>
      </c>
      <c r="F3417" s="21" t="s">
        <v>386</v>
      </c>
      <c r="G3417" s="21" t="s">
        <v>386</v>
      </c>
    </row>
    <row r="3418" spans="1:8">
      <c r="A3418" s="21" t="s">
        <v>261</v>
      </c>
      <c r="B3418" s="21" t="s">
        <v>436</v>
      </c>
      <c r="C3418" s="21" t="s">
        <v>437</v>
      </c>
      <c r="D3418" s="21" t="s">
        <v>438</v>
      </c>
      <c r="E3418" s="21" t="s">
        <v>439</v>
      </c>
      <c r="F3418" s="21" t="s">
        <v>388</v>
      </c>
      <c r="G3418" s="21" t="s">
        <v>440</v>
      </c>
    </row>
    <row r="3420" spans="1:8" ht="30">
      <c r="B3420" s="3" t="s">
        <v>786</v>
      </c>
      <c r="C3420" s="3" t="s">
        <v>787</v>
      </c>
      <c r="D3420" s="3" t="s">
        <v>788</v>
      </c>
      <c r="E3420" s="3" t="s">
        <v>789</v>
      </c>
      <c r="F3420" s="3" t="s">
        <v>790</v>
      </c>
      <c r="G3420" s="3" t="s">
        <v>791</v>
      </c>
    </row>
    <row r="3421" spans="1:8">
      <c r="A3421" s="11" t="s">
        <v>92</v>
      </c>
      <c r="B3421" s="6">
        <f t="shared" ref="B3421:B3447" si="692">SUM($B3198:$W3198)</f>
        <v>1.722352002124774</v>
      </c>
      <c r="C3421" s="6">
        <f t="shared" ref="C3421:C3447" si="693">SUM($B3236:$W3236)</f>
        <v>0</v>
      </c>
      <c r="D3421" s="6">
        <f t="shared" ref="D3421:D3447" si="694">SUM($B3274:$W3274)</f>
        <v>0</v>
      </c>
      <c r="E3421" s="6">
        <f t="shared" ref="E3421:E3447" si="695">SUM($B3312:$W3312)</f>
        <v>4.6505255330235507</v>
      </c>
      <c r="F3421" s="6">
        <f t="shared" ref="F3421:F3447" si="696">SUM($B3346:$W3346)</f>
        <v>0</v>
      </c>
      <c r="G3421" s="6">
        <f t="shared" ref="G3421:G3447" si="697">SUM($B3381:$W3381)</f>
        <v>0</v>
      </c>
      <c r="H3421" s="10"/>
    </row>
    <row r="3422" spans="1:8">
      <c r="A3422" s="11" t="s">
        <v>93</v>
      </c>
      <c r="B3422" s="6">
        <f t="shared" si="692"/>
        <v>1.8392496985729181</v>
      </c>
      <c r="C3422" s="6">
        <f t="shared" si="693"/>
        <v>0.16958028757628427</v>
      </c>
      <c r="D3422" s="6">
        <f t="shared" si="694"/>
        <v>0</v>
      </c>
      <c r="E3422" s="6">
        <f t="shared" si="695"/>
        <v>4.6505255330235507</v>
      </c>
      <c r="F3422" s="6">
        <f t="shared" si="696"/>
        <v>0</v>
      </c>
      <c r="G3422" s="6">
        <f t="shared" si="697"/>
        <v>0</v>
      </c>
      <c r="H3422" s="10"/>
    </row>
    <row r="3423" spans="1:8">
      <c r="A3423" s="11" t="s">
        <v>129</v>
      </c>
      <c r="B3423" s="6">
        <f t="shared" si="692"/>
        <v>0.20722492850617197</v>
      </c>
      <c r="C3423" s="6">
        <f t="shared" si="693"/>
        <v>0</v>
      </c>
      <c r="D3423" s="6">
        <f t="shared" si="694"/>
        <v>0</v>
      </c>
      <c r="E3423" s="6">
        <f t="shared" si="695"/>
        <v>0</v>
      </c>
      <c r="F3423" s="6">
        <f t="shared" si="696"/>
        <v>0</v>
      </c>
      <c r="G3423" s="6">
        <f t="shared" si="697"/>
        <v>0</v>
      </c>
      <c r="H3423" s="10"/>
    </row>
    <row r="3424" spans="1:8">
      <c r="A3424" s="11" t="s">
        <v>94</v>
      </c>
      <c r="B3424" s="6">
        <f t="shared" si="692"/>
        <v>1.3546224157351221</v>
      </c>
      <c r="C3424" s="6">
        <f t="shared" si="693"/>
        <v>0</v>
      </c>
      <c r="D3424" s="6">
        <f t="shared" si="694"/>
        <v>0</v>
      </c>
      <c r="E3424" s="6">
        <f t="shared" si="695"/>
        <v>7.8169321719763465</v>
      </c>
      <c r="F3424" s="6">
        <f t="shared" si="696"/>
        <v>0</v>
      </c>
      <c r="G3424" s="6">
        <f t="shared" si="697"/>
        <v>0</v>
      </c>
      <c r="H3424" s="10"/>
    </row>
    <row r="3425" spans="1:8">
      <c r="A3425" s="11" t="s">
        <v>95</v>
      </c>
      <c r="B3425" s="6">
        <f t="shared" si="692"/>
        <v>1.7174401467612912</v>
      </c>
      <c r="C3425" s="6">
        <f t="shared" si="693"/>
        <v>0.20605111558343212</v>
      </c>
      <c r="D3425" s="6">
        <f t="shared" si="694"/>
        <v>0</v>
      </c>
      <c r="E3425" s="6">
        <f t="shared" si="695"/>
        <v>7.8169321719763465</v>
      </c>
      <c r="F3425" s="6">
        <f t="shared" si="696"/>
        <v>0</v>
      </c>
      <c r="G3425" s="6">
        <f t="shared" si="697"/>
        <v>0</v>
      </c>
      <c r="H3425" s="10"/>
    </row>
    <row r="3426" spans="1:8">
      <c r="A3426" s="11" t="s">
        <v>130</v>
      </c>
      <c r="B3426" s="6">
        <f t="shared" si="692"/>
        <v>0.21285997953121552</v>
      </c>
      <c r="C3426" s="6">
        <f t="shared" si="693"/>
        <v>0</v>
      </c>
      <c r="D3426" s="6">
        <f t="shared" si="694"/>
        <v>0</v>
      </c>
      <c r="E3426" s="6">
        <f t="shared" si="695"/>
        <v>0</v>
      </c>
      <c r="F3426" s="6">
        <f t="shared" si="696"/>
        <v>0</v>
      </c>
      <c r="G3426" s="6">
        <f t="shared" si="697"/>
        <v>0</v>
      </c>
      <c r="H3426" s="10"/>
    </row>
    <row r="3427" spans="1:8">
      <c r="A3427" s="11" t="s">
        <v>96</v>
      </c>
      <c r="B3427" s="6">
        <f t="shared" si="692"/>
        <v>1.6008058840954784</v>
      </c>
      <c r="C3427" s="6">
        <f t="shared" si="693"/>
        <v>0.14571049045931955</v>
      </c>
      <c r="D3427" s="6">
        <f t="shared" si="694"/>
        <v>0</v>
      </c>
      <c r="E3427" s="6">
        <f t="shared" si="695"/>
        <v>45.356105093595808</v>
      </c>
      <c r="F3427" s="6">
        <f t="shared" si="696"/>
        <v>0</v>
      </c>
      <c r="G3427" s="6">
        <f t="shared" si="697"/>
        <v>0</v>
      </c>
      <c r="H3427" s="10"/>
    </row>
    <row r="3428" spans="1:8">
      <c r="A3428" s="11" t="s">
        <v>97</v>
      </c>
      <c r="B3428" s="6">
        <f t="shared" si="692"/>
        <v>1.4851725401050426</v>
      </c>
      <c r="C3428" s="6">
        <f t="shared" si="693"/>
        <v>0.13572705674803423</v>
      </c>
      <c r="D3428" s="6">
        <f t="shared" si="694"/>
        <v>0</v>
      </c>
      <c r="E3428" s="6">
        <f t="shared" si="695"/>
        <v>32.771588660233938</v>
      </c>
      <c r="F3428" s="6">
        <f t="shared" si="696"/>
        <v>0</v>
      </c>
      <c r="G3428" s="6">
        <f t="shared" si="697"/>
        <v>0</v>
      </c>
      <c r="H3428" s="10"/>
    </row>
    <row r="3429" spans="1:8">
      <c r="A3429" s="11" t="s">
        <v>110</v>
      </c>
      <c r="B3429" s="6">
        <f t="shared" si="692"/>
        <v>0.83579960783241847</v>
      </c>
      <c r="C3429" s="6">
        <f t="shared" si="693"/>
        <v>7.7686696261296845E-2</v>
      </c>
      <c r="D3429" s="6">
        <f t="shared" si="694"/>
        <v>0</v>
      </c>
      <c r="E3429" s="6">
        <f t="shared" si="695"/>
        <v>169.77514390517439</v>
      </c>
      <c r="F3429" s="6">
        <f t="shared" si="696"/>
        <v>0</v>
      </c>
      <c r="G3429" s="6">
        <f t="shared" si="697"/>
        <v>0</v>
      </c>
      <c r="H3429" s="10"/>
    </row>
    <row r="3430" spans="1:8">
      <c r="A3430" s="11" t="s">
        <v>1647</v>
      </c>
      <c r="B3430" s="6">
        <f t="shared" si="692"/>
        <v>10.190680983540769</v>
      </c>
      <c r="C3430" s="6">
        <f t="shared" si="693"/>
        <v>1.0023900072905536</v>
      </c>
      <c r="D3430" s="6">
        <f t="shared" si="694"/>
        <v>0.15335825243107057</v>
      </c>
      <c r="E3430" s="6">
        <f t="shared" si="695"/>
        <v>4.6505255330235507</v>
      </c>
      <c r="F3430" s="6">
        <f t="shared" si="696"/>
        <v>0</v>
      </c>
      <c r="G3430" s="6">
        <f t="shared" si="697"/>
        <v>0</v>
      </c>
      <c r="H3430" s="10"/>
    </row>
    <row r="3431" spans="1:8">
      <c r="A3431" s="11" t="s">
        <v>1646</v>
      </c>
      <c r="B3431" s="6">
        <f t="shared" si="692"/>
        <v>10.180468230492396</v>
      </c>
      <c r="C3431" s="6">
        <f t="shared" si="693"/>
        <v>0.99946602609442114</v>
      </c>
      <c r="D3431" s="6">
        <f t="shared" si="694"/>
        <v>0.15339715553422575</v>
      </c>
      <c r="E3431" s="6">
        <f t="shared" si="695"/>
        <v>7.8169321719763465</v>
      </c>
      <c r="F3431" s="6">
        <f t="shared" si="696"/>
        <v>0</v>
      </c>
      <c r="G3431" s="6">
        <f t="shared" si="697"/>
        <v>0</v>
      </c>
      <c r="H3431" s="10"/>
    </row>
    <row r="3432" spans="1:8">
      <c r="A3432" s="11" t="s">
        <v>98</v>
      </c>
      <c r="B3432" s="6">
        <f t="shared" si="692"/>
        <v>7.4191329808873334</v>
      </c>
      <c r="C3432" s="6">
        <f t="shared" si="693"/>
        <v>0.71668010601267507</v>
      </c>
      <c r="D3432" s="6">
        <f t="shared" si="694"/>
        <v>0.11182347025086845</v>
      </c>
      <c r="E3432" s="6">
        <f t="shared" si="695"/>
        <v>11.699299796364846</v>
      </c>
      <c r="F3432" s="6">
        <f t="shared" si="696"/>
        <v>3.0352493352519794</v>
      </c>
      <c r="G3432" s="6">
        <f t="shared" si="697"/>
        <v>0.26714496596278003</v>
      </c>
      <c r="H3432" s="10"/>
    </row>
    <row r="3433" spans="1:8">
      <c r="A3433" s="11" t="s">
        <v>99</v>
      </c>
      <c r="B3433" s="6">
        <f t="shared" si="692"/>
        <v>5.2985028687795843</v>
      </c>
      <c r="C3433" s="6">
        <f t="shared" si="693"/>
        <v>0.49093794088118525</v>
      </c>
      <c r="D3433" s="6">
        <f t="shared" si="694"/>
        <v>8.0454198152716913E-2</v>
      </c>
      <c r="E3433" s="6">
        <f t="shared" si="695"/>
        <v>9.0109538407300178</v>
      </c>
      <c r="F3433" s="6">
        <f t="shared" si="696"/>
        <v>3.4303202887808428</v>
      </c>
      <c r="G3433" s="6">
        <f t="shared" si="697"/>
        <v>0.20834112082337403</v>
      </c>
      <c r="H3433" s="10"/>
    </row>
    <row r="3434" spans="1:8">
      <c r="A3434" s="11" t="s">
        <v>111</v>
      </c>
      <c r="B3434" s="6">
        <f t="shared" si="692"/>
        <v>4.3854534675044521</v>
      </c>
      <c r="C3434" s="6">
        <f t="shared" si="693"/>
        <v>0.39647894817277324</v>
      </c>
      <c r="D3434" s="6">
        <f t="shared" si="694"/>
        <v>6.5819714112728717E-2</v>
      </c>
      <c r="E3434" s="6">
        <f t="shared" si="695"/>
        <v>89.399118103702705</v>
      </c>
      <c r="F3434" s="6">
        <f t="shared" si="696"/>
        <v>3.5534507248901726</v>
      </c>
      <c r="G3434" s="6">
        <f t="shared" si="697"/>
        <v>0.14612891720187587</v>
      </c>
      <c r="H3434" s="10"/>
    </row>
    <row r="3435" spans="1:8">
      <c r="A3435" s="11" t="s">
        <v>131</v>
      </c>
      <c r="B3435" s="6">
        <f t="shared" si="692"/>
        <v>1.8890119083555579</v>
      </c>
      <c r="C3435" s="6">
        <f t="shared" si="693"/>
        <v>0</v>
      </c>
      <c r="D3435" s="6">
        <f t="shared" si="694"/>
        <v>0</v>
      </c>
      <c r="E3435" s="6">
        <f t="shared" si="695"/>
        <v>0</v>
      </c>
      <c r="F3435" s="6">
        <f t="shared" si="696"/>
        <v>0</v>
      </c>
      <c r="G3435" s="6">
        <f t="shared" si="697"/>
        <v>0</v>
      </c>
      <c r="H3435" s="10"/>
    </row>
    <row r="3436" spans="1:8">
      <c r="A3436" s="11" t="s">
        <v>132</v>
      </c>
      <c r="B3436" s="6">
        <f t="shared" si="692"/>
        <v>2.2105824362711401</v>
      </c>
      <c r="C3436" s="6">
        <f t="shared" si="693"/>
        <v>0</v>
      </c>
      <c r="D3436" s="6">
        <f t="shared" si="694"/>
        <v>0</v>
      </c>
      <c r="E3436" s="6">
        <f t="shared" si="695"/>
        <v>0</v>
      </c>
      <c r="F3436" s="6">
        <f t="shared" si="696"/>
        <v>0</v>
      </c>
      <c r="G3436" s="6">
        <f t="shared" si="697"/>
        <v>0</v>
      </c>
      <c r="H3436" s="10"/>
    </row>
    <row r="3437" spans="1:8">
      <c r="A3437" s="11" t="s">
        <v>133</v>
      </c>
      <c r="B3437" s="6">
        <f t="shared" si="692"/>
        <v>3.1247030172762456</v>
      </c>
      <c r="C3437" s="6">
        <f t="shared" si="693"/>
        <v>0</v>
      </c>
      <c r="D3437" s="6">
        <f t="shared" si="694"/>
        <v>0</v>
      </c>
      <c r="E3437" s="6">
        <f t="shared" si="695"/>
        <v>0</v>
      </c>
      <c r="F3437" s="6">
        <f t="shared" si="696"/>
        <v>0</v>
      </c>
      <c r="G3437" s="6">
        <f t="shared" si="697"/>
        <v>0</v>
      </c>
      <c r="H3437" s="10"/>
    </row>
    <row r="3438" spans="1:8">
      <c r="A3438" s="11" t="s">
        <v>134</v>
      </c>
      <c r="B3438" s="6">
        <f t="shared" si="692"/>
        <v>1.6088475815599501</v>
      </c>
      <c r="C3438" s="6">
        <f t="shared" si="693"/>
        <v>0</v>
      </c>
      <c r="D3438" s="6">
        <f t="shared" si="694"/>
        <v>0</v>
      </c>
      <c r="E3438" s="6">
        <f t="shared" si="695"/>
        <v>0</v>
      </c>
      <c r="F3438" s="6">
        <f t="shared" si="696"/>
        <v>0</v>
      </c>
      <c r="G3438" s="6">
        <f t="shared" si="697"/>
        <v>0</v>
      </c>
      <c r="H3438" s="10"/>
    </row>
    <row r="3439" spans="1:8">
      <c r="A3439" s="11" t="s">
        <v>135</v>
      </c>
      <c r="B3439" s="6">
        <f t="shared" si="692"/>
        <v>26.345283180294782</v>
      </c>
      <c r="C3439" s="6">
        <f t="shared" si="693"/>
        <v>1.7212227294369926</v>
      </c>
      <c r="D3439" s="6">
        <f t="shared" si="694"/>
        <v>0.96546559558430789</v>
      </c>
      <c r="E3439" s="6">
        <f t="shared" si="695"/>
        <v>0</v>
      </c>
      <c r="F3439" s="6">
        <f t="shared" si="696"/>
        <v>0</v>
      </c>
      <c r="G3439" s="6">
        <f t="shared" si="697"/>
        <v>0</v>
      </c>
      <c r="H3439" s="10"/>
    </row>
    <row r="3440" spans="1:8">
      <c r="A3440" s="11" t="s">
        <v>1645</v>
      </c>
      <c r="B3440" s="6">
        <f t="shared" si="692"/>
        <v>-0.88374617699213009</v>
      </c>
      <c r="C3440" s="6">
        <f t="shared" si="693"/>
        <v>0</v>
      </c>
      <c r="D3440" s="6">
        <f t="shared" si="694"/>
        <v>0</v>
      </c>
      <c r="E3440" s="6">
        <f t="shared" si="695"/>
        <v>0</v>
      </c>
      <c r="F3440" s="6">
        <f t="shared" si="696"/>
        <v>0</v>
      </c>
      <c r="G3440" s="6">
        <f t="shared" si="697"/>
        <v>0</v>
      </c>
      <c r="H3440" s="10"/>
    </row>
    <row r="3441" spans="1:8">
      <c r="A3441" s="11" t="s">
        <v>100</v>
      </c>
      <c r="B3441" s="6">
        <f t="shared" si="692"/>
        <v>-0.81010267114273882</v>
      </c>
      <c r="C3441" s="6">
        <f t="shared" si="693"/>
        <v>0</v>
      </c>
      <c r="D3441" s="6">
        <f t="shared" si="694"/>
        <v>0</v>
      </c>
      <c r="E3441" s="6">
        <f t="shared" si="695"/>
        <v>0</v>
      </c>
      <c r="F3441" s="6">
        <f t="shared" si="696"/>
        <v>0</v>
      </c>
      <c r="G3441" s="6">
        <f t="shared" si="697"/>
        <v>0</v>
      </c>
      <c r="H3441" s="10"/>
    </row>
    <row r="3442" spans="1:8">
      <c r="A3442" s="11" t="s">
        <v>101</v>
      </c>
      <c r="B3442" s="6">
        <f t="shared" si="692"/>
        <v>-0.88374617699213009</v>
      </c>
      <c r="C3442" s="6">
        <f t="shared" si="693"/>
        <v>0</v>
      </c>
      <c r="D3442" s="6">
        <f t="shared" si="694"/>
        <v>0</v>
      </c>
      <c r="E3442" s="6">
        <f t="shared" si="695"/>
        <v>0</v>
      </c>
      <c r="F3442" s="6">
        <f t="shared" si="696"/>
        <v>0</v>
      </c>
      <c r="G3442" s="6">
        <f t="shared" si="697"/>
        <v>0.28875762249361692</v>
      </c>
      <c r="H3442" s="10"/>
    </row>
    <row r="3443" spans="1:8">
      <c r="A3443" s="11" t="s">
        <v>102</v>
      </c>
      <c r="B3443" s="6">
        <f t="shared" si="692"/>
        <v>-7.1152268532234642</v>
      </c>
      <c r="C3443" s="6">
        <f t="shared" si="693"/>
        <v>-0.69962600483282178</v>
      </c>
      <c r="D3443" s="6">
        <f t="shared" si="694"/>
        <v>-0.10689338308356565</v>
      </c>
      <c r="E3443" s="6">
        <f t="shared" si="695"/>
        <v>0</v>
      </c>
      <c r="F3443" s="6">
        <f t="shared" si="696"/>
        <v>0</v>
      </c>
      <c r="G3443" s="6">
        <f t="shared" si="697"/>
        <v>0.28875762249361692</v>
      </c>
      <c r="H3443" s="10"/>
    </row>
    <row r="3444" spans="1:8">
      <c r="A3444" s="11" t="s">
        <v>103</v>
      </c>
      <c r="B3444" s="6">
        <f t="shared" si="692"/>
        <v>-0.81010267114273882</v>
      </c>
      <c r="C3444" s="6">
        <f t="shared" si="693"/>
        <v>0</v>
      </c>
      <c r="D3444" s="6">
        <f t="shared" si="694"/>
        <v>0</v>
      </c>
      <c r="E3444" s="6">
        <f t="shared" si="695"/>
        <v>0</v>
      </c>
      <c r="F3444" s="6">
        <f t="shared" si="696"/>
        <v>0</v>
      </c>
      <c r="G3444" s="6">
        <f t="shared" si="697"/>
        <v>0.25275902296037006</v>
      </c>
      <c r="H3444" s="10"/>
    </row>
    <row r="3445" spans="1:8">
      <c r="A3445" s="11" t="s">
        <v>104</v>
      </c>
      <c r="B3445" s="6">
        <f t="shared" si="692"/>
        <v>-6.5435385163492308</v>
      </c>
      <c r="C3445" s="6">
        <f t="shared" si="693"/>
        <v>-0.63705662704462418</v>
      </c>
      <c r="D3445" s="6">
        <f t="shared" si="694"/>
        <v>-9.8485385096291983E-2</v>
      </c>
      <c r="E3445" s="6">
        <f t="shared" si="695"/>
        <v>0</v>
      </c>
      <c r="F3445" s="6">
        <f t="shared" si="696"/>
        <v>0</v>
      </c>
      <c r="G3445" s="6">
        <f t="shared" si="697"/>
        <v>0.25275902296037006</v>
      </c>
      <c r="H3445" s="10"/>
    </row>
    <row r="3446" spans="1:8">
      <c r="A3446" s="11" t="s">
        <v>112</v>
      </c>
      <c r="B3446" s="6">
        <f t="shared" si="692"/>
        <v>-0.56174188836200312</v>
      </c>
      <c r="C3446" s="6">
        <f t="shared" si="693"/>
        <v>0</v>
      </c>
      <c r="D3446" s="6">
        <f t="shared" si="694"/>
        <v>0</v>
      </c>
      <c r="E3446" s="6">
        <f t="shared" si="695"/>
        <v>43.102334840579751</v>
      </c>
      <c r="F3446" s="6">
        <f t="shared" si="696"/>
        <v>0</v>
      </c>
      <c r="G3446" s="6">
        <f t="shared" si="697"/>
        <v>0.20698421453834892</v>
      </c>
      <c r="H3446" s="10"/>
    </row>
    <row r="3447" spans="1:8">
      <c r="A3447" s="11" t="s">
        <v>113</v>
      </c>
      <c r="B3447" s="6">
        <f t="shared" si="692"/>
        <v>-4.6245043554348122</v>
      </c>
      <c r="C3447" s="6">
        <f t="shared" si="693"/>
        <v>-0.42451764239218559</v>
      </c>
      <c r="D3447" s="6">
        <f t="shared" si="694"/>
        <v>-7.010041688334763E-2</v>
      </c>
      <c r="E3447" s="6">
        <f t="shared" si="695"/>
        <v>43.102334840579751</v>
      </c>
      <c r="F3447" s="6">
        <f t="shared" si="696"/>
        <v>0</v>
      </c>
      <c r="G3447" s="6">
        <f t="shared" si="697"/>
        <v>0.20698421453834892</v>
      </c>
      <c r="H3447" s="10"/>
    </row>
    <row r="3449" spans="1:8" ht="21" customHeight="1">
      <c r="A3449" s="1" t="str">
        <f>"Revenue shortfall or surplus"&amp;" for "&amp;CDCM!B7&amp;" in "&amp;CDCM!C7&amp;" ("&amp;CDCM!D7&amp;")"</f>
        <v>Revenue shortfall or surplus for 0 in 0 (0)</v>
      </c>
    </row>
    <row r="3451" spans="1:8" ht="21" customHeight="1">
      <c r="A3451" s="1" t="s">
        <v>792</v>
      </c>
    </row>
    <row r="3452" spans="1:8">
      <c r="A3452" s="2" t="s">
        <v>255</v>
      </c>
    </row>
    <row r="3453" spans="1:8">
      <c r="A3453" s="12" t="s">
        <v>381</v>
      </c>
    </row>
    <row r="3454" spans="1:8">
      <c r="A3454" s="12" t="s">
        <v>793</v>
      </c>
    </row>
    <row r="3455" spans="1:8">
      <c r="A3455" s="12" t="s">
        <v>794</v>
      </c>
    </row>
    <row r="3456" spans="1:8">
      <c r="A3456" s="12" t="s">
        <v>795</v>
      </c>
    </row>
    <row r="3457" spans="1:3">
      <c r="A3457" s="12" t="s">
        <v>796</v>
      </c>
    </row>
    <row r="3458" spans="1:3">
      <c r="A3458" s="12" t="s">
        <v>797</v>
      </c>
    </row>
    <row r="3459" spans="1:3">
      <c r="A3459" s="12" t="s">
        <v>798</v>
      </c>
    </row>
    <row r="3460" spans="1:3">
      <c r="A3460" s="12" t="s">
        <v>799</v>
      </c>
    </row>
    <row r="3461" spans="1:3">
      <c r="A3461" s="12" t="s">
        <v>800</v>
      </c>
    </row>
    <row r="3462" spans="1:3">
      <c r="A3462" s="12" t="s">
        <v>801</v>
      </c>
    </row>
    <row r="3463" spans="1:3">
      <c r="A3463" s="12" t="s">
        <v>802</v>
      </c>
    </row>
    <row r="3464" spans="1:3">
      <c r="A3464" s="12" t="s">
        <v>803</v>
      </c>
    </row>
    <row r="3465" spans="1:3">
      <c r="A3465" s="12" t="s">
        <v>804</v>
      </c>
    </row>
    <row r="3466" spans="1:3">
      <c r="A3466" s="2" t="s">
        <v>805</v>
      </c>
    </row>
    <row r="3468" spans="1:3">
      <c r="B3468" s="3" t="s">
        <v>806</v>
      </c>
    </row>
    <row r="3469" spans="1:3">
      <c r="A3469" s="11" t="s">
        <v>92</v>
      </c>
      <c r="B3469" s="15">
        <f t="shared" ref="B3469:B3495" si="698">0.01*F$14*(E3421*E1170+F3421*F1170)+10*(B3421*B1170+C3421*C1170+D3421*D1170+G3421*G1170)</f>
        <v>72402442.821805745</v>
      </c>
      <c r="C3469" s="10"/>
    </row>
    <row r="3470" spans="1:3">
      <c r="A3470" s="11" t="s">
        <v>93</v>
      </c>
      <c r="B3470" s="15">
        <f t="shared" si="698"/>
        <v>4524493.2355421204</v>
      </c>
      <c r="C3470" s="10"/>
    </row>
    <row r="3471" spans="1:3">
      <c r="A3471" s="11" t="s">
        <v>129</v>
      </c>
      <c r="B3471" s="15">
        <f t="shared" si="698"/>
        <v>7487.3352730206216</v>
      </c>
      <c r="C3471" s="10"/>
    </row>
    <row r="3472" spans="1:3">
      <c r="A3472" s="11" t="s">
        <v>94</v>
      </c>
      <c r="B3472" s="15">
        <f t="shared" si="698"/>
        <v>12991213.63777519</v>
      </c>
      <c r="C3472" s="10"/>
    </row>
    <row r="3473" spans="1:3">
      <c r="A3473" s="11" t="s">
        <v>95</v>
      </c>
      <c r="B3473" s="15">
        <f t="shared" si="698"/>
        <v>4132929.6893885569</v>
      </c>
      <c r="C3473" s="10"/>
    </row>
    <row r="3474" spans="1:3">
      <c r="A3474" s="11" t="s">
        <v>130</v>
      </c>
      <c r="B3474" s="15">
        <f t="shared" si="698"/>
        <v>4815.3383793831099</v>
      </c>
      <c r="C3474" s="10"/>
    </row>
    <row r="3475" spans="1:3">
      <c r="A3475" s="11" t="s">
        <v>96</v>
      </c>
      <c r="B3475" s="15">
        <f t="shared" si="698"/>
        <v>7018218.1465682741</v>
      </c>
      <c r="C3475" s="10"/>
    </row>
    <row r="3476" spans="1:3">
      <c r="A3476" s="11" t="s">
        <v>97</v>
      </c>
      <c r="B3476" s="15">
        <f t="shared" si="698"/>
        <v>8344.5263143695483</v>
      </c>
      <c r="C3476" s="10"/>
    </row>
    <row r="3477" spans="1:3">
      <c r="A3477" s="11" t="s">
        <v>110</v>
      </c>
      <c r="B3477" s="15">
        <f t="shared" si="698"/>
        <v>14502.088466297751</v>
      </c>
      <c r="C3477" s="10"/>
    </row>
    <row r="3478" spans="1:3">
      <c r="A3478" s="11" t="s">
        <v>1647</v>
      </c>
      <c r="B3478" s="15">
        <f t="shared" si="698"/>
        <v>0</v>
      </c>
      <c r="C3478" s="10"/>
    </row>
    <row r="3479" spans="1:3">
      <c r="A3479" s="11" t="s">
        <v>1646</v>
      </c>
      <c r="B3479" s="15">
        <f t="shared" si="698"/>
        <v>0</v>
      </c>
      <c r="C3479" s="10"/>
    </row>
    <row r="3480" spans="1:3">
      <c r="A3480" s="11" t="s">
        <v>98</v>
      </c>
      <c r="B3480" s="15">
        <f t="shared" si="698"/>
        <v>20122006.747270111</v>
      </c>
      <c r="C3480" s="10"/>
    </row>
    <row r="3481" spans="1:3">
      <c r="A3481" s="11" t="s">
        <v>99</v>
      </c>
      <c r="B3481" s="15">
        <f t="shared" si="698"/>
        <v>222539.68568283494</v>
      </c>
      <c r="C3481" s="10"/>
    </row>
    <row r="3482" spans="1:3">
      <c r="A3482" s="11" t="s">
        <v>111</v>
      </c>
      <c r="B3482" s="15">
        <f t="shared" si="698"/>
        <v>21596651.283818826</v>
      </c>
      <c r="C3482" s="10"/>
    </row>
    <row r="3483" spans="1:3">
      <c r="A3483" s="11" t="s">
        <v>131</v>
      </c>
      <c r="B3483" s="15">
        <f t="shared" si="698"/>
        <v>145241.7728129384</v>
      </c>
      <c r="C3483" s="10"/>
    </row>
    <row r="3484" spans="1:3">
      <c r="A3484" s="11" t="s">
        <v>132</v>
      </c>
      <c r="B3484" s="15">
        <f t="shared" si="698"/>
        <v>133736.5926517605</v>
      </c>
      <c r="C3484" s="10"/>
    </row>
    <row r="3485" spans="1:3">
      <c r="A3485" s="11" t="s">
        <v>133</v>
      </c>
      <c r="B3485" s="15">
        <f t="shared" si="698"/>
        <v>11819.825982987031</v>
      </c>
      <c r="C3485" s="10"/>
    </row>
    <row r="3486" spans="1:3">
      <c r="A3486" s="11" t="s">
        <v>134</v>
      </c>
      <c r="B3486" s="15">
        <f t="shared" si="698"/>
        <v>0</v>
      </c>
      <c r="C3486" s="10"/>
    </row>
    <row r="3487" spans="1:3">
      <c r="A3487" s="11" t="s">
        <v>135</v>
      </c>
      <c r="B3487" s="15">
        <f t="shared" si="698"/>
        <v>3248253.159639284</v>
      </c>
      <c r="C3487" s="10"/>
    </row>
    <row r="3488" spans="1:3">
      <c r="A3488" s="11" t="s">
        <v>1645</v>
      </c>
      <c r="B3488" s="15">
        <f t="shared" si="698"/>
        <v>-5322.7810180613305</v>
      </c>
      <c r="C3488" s="10"/>
    </row>
    <row r="3489" spans="1:3">
      <c r="A3489" s="11" t="s">
        <v>100</v>
      </c>
      <c r="B3489" s="15">
        <f t="shared" si="698"/>
        <v>0</v>
      </c>
      <c r="C3489" s="10"/>
    </row>
    <row r="3490" spans="1:3">
      <c r="A3490" s="11" t="s">
        <v>101</v>
      </c>
      <c r="B3490" s="15">
        <f t="shared" si="698"/>
        <v>-83244.572217450739</v>
      </c>
      <c r="C3490" s="10"/>
    </row>
    <row r="3491" spans="1:3">
      <c r="A3491" s="11" t="s">
        <v>102</v>
      </c>
      <c r="B3491" s="15">
        <f t="shared" si="698"/>
        <v>-16203.143540802028</v>
      </c>
      <c r="C3491" s="10"/>
    </row>
    <row r="3492" spans="1:3">
      <c r="A3492" s="11" t="s">
        <v>103</v>
      </c>
      <c r="B3492" s="15">
        <f t="shared" si="698"/>
        <v>-305.17377724618115</v>
      </c>
      <c r="C3492" s="10"/>
    </row>
    <row r="3493" spans="1:3">
      <c r="A3493" s="11" t="s">
        <v>104</v>
      </c>
      <c r="B3493" s="15">
        <f t="shared" si="698"/>
        <v>0</v>
      </c>
      <c r="C3493" s="10"/>
    </row>
    <row r="3494" spans="1:3">
      <c r="A3494" s="11" t="s">
        <v>112</v>
      </c>
      <c r="B3494" s="15">
        <f t="shared" si="698"/>
        <v>-244374.1864558268</v>
      </c>
      <c r="C3494" s="10"/>
    </row>
    <row r="3495" spans="1:3">
      <c r="A3495" s="11" t="s">
        <v>113</v>
      </c>
      <c r="B3495" s="15">
        <f t="shared" si="698"/>
        <v>-634942.03483673662</v>
      </c>
      <c r="C3495" s="10"/>
    </row>
    <row r="3497" spans="1:3" ht="21" customHeight="1">
      <c r="A3497" s="1" t="s">
        <v>1598</v>
      </c>
    </row>
    <row r="3498" spans="1:3">
      <c r="A3498" s="2" t="s">
        <v>255</v>
      </c>
    </row>
    <row r="3499" spans="1:3">
      <c r="A3499" s="12" t="s">
        <v>807</v>
      </c>
    </row>
    <row r="3500" spans="1:3">
      <c r="A3500" s="12" t="s">
        <v>1597</v>
      </c>
    </row>
    <row r="3501" spans="1:3">
      <c r="A3501" s="12" t="s">
        <v>808</v>
      </c>
    </row>
    <row r="3502" spans="1:3">
      <c r="A3502" s="21" t="s">
        <v>258</v>
      </c>
      <c r="B3502" s="21" t="s">
        <v>386</v>
      </c>
      <c r="C3502" s="21" t="s">
        <v>385</v>
      </c>
    </row>
    <row r="3503" spans="1:3">
      <c r="A3503" s="21" t="s">
        <v>261</v>
      </c>
      <c r="B3503" s="21" t="s">
        <v>436</v>
      </c>
      <c r="C3503" s="21" t="s">
        <v>809</v>
      </c>
    </row>
    <row r="3505" spans="1:4" ht="30">
      <c r="B3505" s="3" t="s">
        <v>810</v>
      </c>
      <c r="C3505" s="3" t="s">
        <v>811</v>
      </c>
    </row>
    <row r="3506" spans="1:4">
      <c r="A3506" s="11" t="s">
        <v>812</v>
      </c>
      <c r="B3506" s="15">
        <f>SUM(B$3469:B$3495)</f>
        <v>145600303.99552554</v>
      </c>
      <c r="C3506" s="15">
        <f>B325-B3506</f>
        <v>94672218.528004616</v>
      </c>
      <c r="D3506" s="10"/>
    </row>
    <row r="3508" spans="1:4" ht="21" customHeight="1">
      <c r="A3508" s="1" t="str">
        <f>"Revenue matching"&amp;" for "&amp;CDCM!B7&amp;" in "&amp;CDCM!C7&amp;" ("&amp;CDCM!D7&amp;")"</f>
        <v>Revenue matching for 0 in 0 (0)</v>
      </c>
    </row>
    <row r="3509" spans="1:4">
      <c r="A3509" s="2" t="s">
        <v>813</v>
      </c>
    </row>
    <row r="3511" spans="1:4" ht="21" customHeight="1">
      <c r="A3511" s="1" t="s">
        <v>814</v>
      </c>
    </row>
    <row r="3512" spans="1:4">
      <c r="A3512" s="2" t="s">
        <v>255</v>
      </c>
    </row>
    <row r="3513" spans="1:4">
      <c r="A3513" s="12" t="s">
        <v>720</v>
      </c>
    </row>
    <row r="3514" spans="1:4">
      <c r="A3514" s="2" t="s">
        <v>815</v>
      </c>
    </row>
    <row r="3516" spans="1:4" ht="30">
      <c r="B3516" s="3" t="s">
        <v>208</v>
      </c>
    </row>
    <row r="3517" spans="1:4">
      <c r="A3517" s="11" t="s">
        <v>816</v>
      </c>
      <c r="B3517" s="6">
        <f>IF($K2754,1/$K2754,0)</f>
        <v>0.14685206687447394</v>
      </c>
      <c r="C3517" s="10"/>
    </row>
    <row r="3519" spans="1:4" ht="21" customHeight="1">
      <c r="A3519" s="1" t="s">
        <v>817</v>
      </c>
    </row>
    <row r="3520" spans="1:4">
      <c r="A3520" s="2" t="s">
        <v>255</v>
      </c>
    </row>
    <row r="3521" spans="1:24">
      <c r="A3521" s="12" t="s">
        <v>818</v>
      </c>
    </row>
    <row r="3522" spans="1:24">
      <c r="A3522" s="2" t="s">
        <v>819</v>
      </c>
    </row>
    <row r="3523" spans="1:24">
      <c r="A3523" s="2" t="s">
        <v>273</v>
      </c>
    </row>
    <row r="3525" spans="1:24" ht="30">
      <c r="B3525" s="3" t="s">
        <v>60</v>
      </c>
      <c r="C3525" s="3" t="s">
        <v>220</v>
      </c>
      <c r="D3525" s="3" t="s">
        <v>221</v>
      </c>
      <c r="E3525" s="3" t="s">
        <v>222</v>
      </c>
      <c r="F3525" s="3" t="s">
        <v>223</v>
      </c>
      <c r="G3525" s="3" t="s">
        <v>224</v>
      </c>
      <c r="H3525" s="3" t="s">
        <v>225</v>
      </c>
      <c r="I3525" s="3" t="s">
        <v>226</v>
      </c>
      <c r="J3525" s="3" t="s">
        <v>227</v>
      </c>
      <c r="K3525" s="3" t="s">
        <v>364</v>
      </c>
      <c r="L3525" s="3" t="s">
        <v>376</v>
      </c>
      <c r="M3525" s="3" t="s">
        <v>208</v>
      </c>
      <c r="N3525" s="3" t="s">
        <v>624</v>
      </c>
      <c r="O3525" s="3" t="s">
        <v>625</v>
      </c>
      <c r="P3525" s="3" t="s">
        <v>626</v>
      </c>
      <c r="Q3525" s="3" t="s">
        <v>627</v>
      </c>
      <c r="R3525" s="3" t="s">
        <v>628</v>
      </c>
      <c r="S3525" s="3" t="s">
        <v>629</v>
      </c>
      <c r="T3525" s="3" t="s">
        <v>630</v>
      </c>
      <c r="U3525" s="3" t="s">
        <v>631</v>
      </c>
      <c r="V3525" s="3" t="s">
        <v>632</v>
      </c>
      <c r="W3525" s="3" t="s">
        <v>633</v>
      </c>
    </row>
    <row r="3526" spans="1:24">
      <c r="A3526" s="11" t="s">
        <v>820</v>
      </c>
      <c r="B3526" s="5">
        <v>0</v>
      </c>
      <c r="C3526" s="5">
        <v>0</v>
      </c>
      <c r="D3526" s="5">
        <v>0</v>
      </c>
      <c r="E3526" s="5">
        <v>0</v>
      </c>
      <c r="F3526" s="5">
        <v>0</v>
      </c>
      <c r="G3526" s="5">
        <v>0</v>
      </c>
      <c r="H3526" s="5">
        <v>0</v>
      </c>
      <c r="I3526" s="5">
        <v>0</v>
      </c>
      <c r="J3526" s="5">
        <v>0</v>
      </c>
      <c r="K3526" s="5">
        <v>0</v>
      </c>
      <c r="L3526" s="5">
        <v>0</v>
      </c>
      <c r="M3526" s="7">
        <f>$B3517</f>
        <v>0.14685206687447394</v>
      </c>
      <c r="N3526" s="5">
        <v>0</v>
      </c>
      <c r="O3526" s="5">
        <v>0</v>
      </c>
      <c r="P3526" s="5">
        <v>0</v>
      </c>
      <c r="Q3526" s="5">
        <v>0</v>
      </c>
      <c r="R3526" s="5">
        <v>0</v>
      </c>
      <c r="S3526" s="5">
        <v>0</v>
      </c>
      <c r="T3526" s="5">
        <v>0</v>
      </c>
      <c r="U3526" s="5">
        <v>0</v>
      </c>
      <c r="V3526" s="5">
        <v>0</v>
      </c>
      <c r="W3526" s="5">
        <v>0</v>
      </c>
      <c r="X3526" s="10"/>
    </row>
    <row r="3528" spans="1:24" ht="21" customHeight="1">
      <c r="A3528" s="1" t="s">
        <v>821</v>
      </c>
    </row>
    <row r="3529" spans="1:24">
      <c r="A3529" s="2" t="s">
        <v>255</v>
      </c>
    </row>
    <row r="3530" spans="1:24">
      <c r="A3530" s="12" t="s">
        <v>780</v>
      </c>
    </row>
    <row r="3531" spans="1:24">
      <c r="A3531" s="12" t="s">
        <v>822</v>
      </c>
    </row>
    <row r="3532" spans="1:24">
      <c r="A3532" s="12" t="s">
        <v>823</v>
      </c>
    </row>
    <row r="3533" spans="1:24">
      <c r="A3533" s="12" t="s">
        <v>824</v>
      </c>
    </row>
    <row r="3534" spans="1:24">
      <c r="A3534" s="12" t="s">
        <v>825</v>
      </c>
    </row>
    <row r="3535" spans="1:24">
      <c r="A3535" s="12" t="s">
        <v>826</v>
      </c>
    </row>
    <row r="3536" spans="1:24">
      <c r="A3536" s="12" t="s">
        <v>827</v>
      </c>
    </row>
    <row r="3537" spans="1:8">
      <c r="A3537" s="21" t="s">
        <v>258</v>
      </c>
      <c r="B3537" s="21" t="s">
        <v>260</v>
      </c>
      <c r="C3537" s="21" t="s">
        <v>260</v>
      </c>
      <c r="D3537" s="21" t="s">
        <v>260</v>
      </c>
      <c r="E3537" s="21" t="s">
        <v>260</v>
      </c>
      <c r="F3537" s="21" t="s">
        <v>260</v>
      </c>
      <c r="G3537" s="21" t="s">
        <v>260</v>
      </c>
    </row>
    <row r="3538" spans="1:8">
      <c r="A3538" s="21" t="s">
        <v>261</v>
      </c>
      <c r="B3538" s="21" t="s">
        <v>263</v>
      </c>
      <c r="C3538" s="21" t="s">
        <v>828</v>
      </c>
      <c r="D3538" s="21" t="s">
        <v>829</v>
      </c>
      <c r="E3538" s="21" t="s">
        <v>830</v>
      </c>
      <c r="F3538" s="21" t="s">
        <v>831</v>
      </c>
      <c r="G3538" s="21" t="s">
        <v>832</v>
      </c>
    </row>
    <row r="3540" spans="1:8" ht="30">
      <c r="B3540" s="3" t="s">
        <v>833</v>
      </c>
      <c r="C3540" s="3" t="s">
        <v>834</v>
      </c>
      <c r="D3540" s="3" t="s">
        <v>835</v>
      </c>
      <c r="E3540" s="3" t="s">
        <v>836</v>
      </c>
      <c r="F3540" s="3" t="s">
        <v>837</v>
      </c>
      <c r="G3540" s="3" t="s">
        <v>838</v>
      </c>
    </row>
    <row r="3541" spans="1:8">
      <c r="A3541" s="11" t="s">
        <v>92</v>
      </c>
      <c r="B3541" s="6">
        <f t="shared" ref="B3541:B3567" si="699">SUMPRODUCT($B3198:$W3198,$B$3526:$W$3526)</f>
        <v>2.4073086547497499E-2</v>
      </c>
      <c r="C3541" s="6">
        <f t="shared" ref="C3541:C3567" si="700">SUMPRODUCT($B3236:$W3236,$B$3526:$W$3526)</f>
        <v>0</v>
      </c>
      <c r="D3541" s="6">
        <f t="shared" ref="D3541:D3567" si="701">SUMPRODUCT($B3274:$W3274,$B$3526:$W$3526)</f>
        <v>0</v>
      </c>
      <c r="E3541" s="6">
        <f t="shared" ref="E3541:E3567" si="702">SUMPRODUCT($B3312:$W3312,$B$3526:$W$3526)</f>
        <v>0</v>
      </c>
      <c r="F3541" s="6">
        <f t="shared" ref="F3541:F3567" si="703">SUMPRODUCT($B3346:$W3346,$B$3526:$W$3526)</f>
        <v>0</v>
      </c>
      <c r="G3541" s="6">
        <f t="shared" ref="G3541:G3567" si="704">SUMPRODUCT($B3381:$W3381,$B$3526:$W$3526)</f>
        <v>0</v>
      </c>
      <c r="H3541" s="10"/>
    </row>
    <row r="3542" spans="1:8">
      <c r="A3542" s="11" t="s">
        <v>93</v>
      </c>
      <c r="B3542" s="6">
        <f t="shared" si="699"/>
        <v>2.6586306000849023E-2</v>
      </c>
      <c r="C3542" s="6">
        <f t="shared" si="700"/>
        <v>6.9035962530569197E-4</v>
      </c>
      <c r="D3542" s="6">
        <f t="shared" si="701"/>
        <v>0</v>
      </c>
      <c r="E3542" s="6">
        <f t="shared" si="702"/>
        <v>0</v>
      </c>
      <c r="F3542" s="6">
        <f t="shared" si="703"/>
        <v>0</v>
      </c>
      <c r="G3542" s="6">
        <f t="shared" si="704"/>
        <v>0</v>
      </c>
      <c r="H3542" s="10"/>
    </row>
    <row r="3543" spans="1:8">
      <c r="A3543" s="11" t="s">
        <v>129</v>
      </c>
      <c r="B3543" s="6">
        <f t="shared" si="699"/>
        <v>1.9101513873465447E-3</v>
      </c>
      <c r="C3543" s="6">
        <f t="shared" si="700"/>
        <v>0</v>
      </c>
      <c r="D3543" s="6">
        <f t="shared" si="701"/>
        <v>0</v>
      </c>
      <c r="E3543" s="6">
        <f t="shared" si="702"/>
        <v>0</v>
      </c>
      <c r="F3543" s="6">
        <f t="shared" si="703"/>
        <v>0</v>
      </c>
      <c r="G3543" s="6">
        <f t="shared" si="704"/>
        <v>0</v>
      </c>
      <c r="H3543" s="10"/>
    </row>
    <row r="3544" spans="1:8">
      <c r="A3544" s="11" t="s">
        <v>94</v>
      </c>
      <c r="B3544" s="6">
        <f t="shared" si="699"/>
        <v>1.8933378666464565E-2</v>
      </c>
      <c r="C3544" s="6">
        <f t="shared" si="700"/>
        <v>0</v>
      </c>
      <c r="D3544" s="6">
        <f t="shared" si="701"/>
        <v>0</v>
      </c>
      <c r="E3544" s="6">
        <f t="shared" si="702"/>
        <v>0</v>
      </c>
      <c r="F3544" s="6">
        <f t="shared" si="703"/>
        <v>0</v>
      </c>
      <c r="G3544" s="6">
        <f t="shared" si="704"/>
        <v>0</v>
      </c>
      <c r="H3544" s="10"/>
    </row>
    <row r="3545" spans="1:8">
      <c r="A3545" s="11" t="s">
        <v>95</v>
      </c>
      <c r="B3545" s="6">
        <f t="shared" si="699"/>
        <v>2.4887399052364902E-2</v>
      </c>
      <c r="C3545" s="6">
        <f t="shared" si="700"/>
        <v>1.1141706769548698E-3</v>
      </c>
      <c r="D3545" s="6">
        <f t="shared" si="701"/>
        <v>0</v>
      </c>
      <c r="E3545" s="6">
        <f t="shared" si="702"/>
        <v>0</v>
      </c>
      <c r="F3545" s="6">
        <f t="shared" si="703"/>
        <v>0</v>
      </c>
      <c r="G3545" s="6">
        <f t="shared" si="704"/>
        <v>0</v>
      </c>
      <c r="H3545" s="10"/>
    </row>
    <row r="3546" spans="1:8">
      <c r="A3546" s="11" t="s">
        <v>130</v>
      </c>
      <c r="B3546" s="6">
        <f t="shared" si="699"/>
        <v>2.0068736254304029E-3</v>
      </c>
      <c r="C3546" s="6">
        <f t="shared" si="700"/>
        <v>0</v>
      </c>
      <c r="D3546" s="6">
        <f t="shared" si="701"/>
        <v>0</v>
      </c>
      <c r="E3546" s="6">
        <f t="shared" si="702"/>
        <v>0</v>
      </c>
      <c r="F3546" s="6">
        <f t="shared" si="703"/>
        <v>0</v>
      </c>
      <c r="G3546" s="6">
        <f t="shared" si="704"/>
        <v>0</v>
      </c>
      <c r="H3546" s="10"/>
    </row>
    <row r="3547" spans="1:8">
      <c r="A3547" s="11" t="s">
        <v>96</v>
      </c>
      <c r="B3547" s="6">
        <f t="shared" si="699"/>
        <v>2.3221384570991935E-2</v>
      </c>
      <c r="C3547" s="6">
        <f t="shared" si="700"/>
        <v>2.8088362565573778E-4</v>
      </c>
      <c r="D3547" s="6">
        <f t="shared" si="701"/>
        <v>0</v>
      </c>
      <c r="E3547" s="6">
        <f t="shared" si="702"/>
        <v>0</v>
      </c>
      <c r="F3547" s="6">
        <f t="shared" si="703"/>
        <v>0</v>
      </c>
      <c r="G3547" s="6">
        <f t="shared" si="704"/>
        <v>0</v>
      </c>
      <c r="H3547" s="10"/>
    </row>
    <row r="3548" spans="1:8">
      <c r="A3548" s="11" t="s">
        <v>97</v>
      </c>
      <c r="B3548" s="6">
        <f t="shared" si="699"/>
        <v>2.3067318371397739E-2</v>
      </c>
      <c r="C3548" s="6">
        <f t="shared" si="700"/>
        <v>2.5511780379766983E-4</v>
      </c>
      <c r="D3548" s="6">
        <f t="shared" si="701"/>
        <v>0</v>
      </c>
      <c r="E3548" s="6">
        <f t="shared" si="702"/>
        <v>0</v>
      </c>
      <c r="F3548" s="6">
        <f t="shared" si="703"/>
        <v>0</v>
      </c>
      <c r="G3548" s="6">
        <f t="shared" si="704"/>
        <v>0</v>
      </c>
      <c r="H3548" s="10"/>
    </row>
    <row r="3549" spans="1:8">
      <c r="A3549" s="11" t="s">
        <v>110</v>
      </c>
      <c r="B3549" s="6">
        <f t="shared" si="699"/>
        <v>2.1426766189439506E-2</v>
      </c>
      <c r="C3549" s="6">
        <f t="shared" si="700"/>
        <v>2.4601567776843538E-4</v>
      </c>
      <c r="D3549" s="6">
        <f t="shared" si="701"/>
        <v>0</v>
      </c>
      <c r="E3549" s="6">
        <f t="shared" si="702"/>
        <v>0</v>
      </c>
      <c r="F3549" s="6">
        <f t="shared" si="703"/>
        <v>0</v>
      </c>
      <c r="G3549" s="6">
        <f t="shared" si="704"/>
        <v>0</v>
      </c>
      <c r="H3549" s="10"/>
    </row>
    <row r="3550" spans="1:8">
      <c r="A3550" s="11" t="s">
        <v>1647</v>
      </c>
      <c r="B3550" s="6">
        <f t="shared" si="699"/>
        <v>0.14608937074358139</v>
      </c>
      <c r="C3550" s="6">
        <f t="shared" si="700"/>
        <v>1.4734199209770517E-2</v>
      </c>
      <c r="D3550" s="6">
        <f t="shared" si="701"/>
        <v>2.2278341924398664E-4</v>
      </c>
      <c r="E3550" s="6">
        <f t="shared" si="702"/>
        <v>0</v>
      </c>
      <c r="F3550" s="6">
        <f t="shared" si="703"/>
        <v>0</v>
      </c>
      <c r="G3550" s="6">
        <f t="shared" si="704"/>
        <v>0</v>
      </c>
      <c r="H3550" s="10"/>
    </row>
    <row r="3551" spans="1:8">
      <c r="A3551" s="11" t="s">
        <v>1646</v>
      </c>
      <c r="B3551" s="6">
        <f t="shared" si="699"/>
        <v>0.14647576742631938</v>
      </c>
      <c r="C3551" s="6">
        <f t="shared" si="700"/>
        <v>1.4773170188072898E-2</v>
      </c>
      <c r="D3551" s="6">
        <f t="shared" si="701"/>
        <v>2.2337266659118763E-4</v>
      </c>
      <c r="E3551" s="6">
        <f t="shared" si="702"/>
        <v>0</v>
      </c>
      <c r="F3551" s="6">
        <f t="shared" si="703"/>
        <v>0</v>
      </c>
      <c r="G3551" s="6">
        <f t="shared" si="704"/>
        <v>0</v>
      </c>
      <c r="H3551" s="10"/>
    </row>
    <row r="3552" spans="1:8">
      <c r="A3552" s="11" t="s">
        <v>98</v>
      </c>
      <c r="B3552" s="6">
        <f t="shared" si="699"/>
        <v>0.12142861146540364</v>
      </c>
      <c r="C3552" s="6">
        <f t="shared" si="700"/>
        <v>1.224697828452855E-2</v>
      </c>
      <c r="D3552" s="6">
        <f t="shared" si="701"/>
        <v>1.8517624601036052E-4</v>
      </c>
      <c r="E3552" s="6">
        <f t="shared" si="702"/>
        <v>0</v>
      </c>
      <c r="F3552" s="6">
        <f t="shared" si="703"/>
        <v>0</v>
      </c>
      <c r="G3552" s="6">
        <f t="shared" si="704"/>
        <v>4.1988858459819671E-3</v>
      </c>
      <c r="H3552" s="10"/>
    </row>
    <row r="3553" spans="1:8">
      <c r="A3553" s="11" t="s">
        <v>99</v>
      </c>
      <c r="B3553" s="6">
        <f t="shared" si="699"/>
        <v>0.10760035454719098</v>
      </c>
      <c r="C3553" s="6">
        <f t="shared" si="700"/>
        <v>1.0852295761633332E-2</v>
      </c>
      <c r="D3553" s="6">
        <f t="shared" si="701"/>
        <v>1.6408842598113308E-4</v>
      </c>
      <c r="E3553" s="6">
        <f t="shared" si="702"/>
        <v>0</v>
      </c>
      <c r="F3553" s="6">
        <f t="shared" si="703"/>
        <v>0</v>
      </c>
      <c r="G3553" s="6">
        <f t="shared" si="704"/>
        <v>4.1176170876726387E-3</v>
      </c>
      <c r="H3553" s="10"/>
    </row>
    <row r="3554" spans="1:8">
      <c r="A3554" s="11" t="s">
        <v>111</v>
      </c>
      <c r="B3554" s="6">
        <f t="shared" si="699"/>
        <v>0.1094553236902075</v>
      </c>
      <c r="C3554" s="6">
        <f t="shared" si="700"/>
        <v>1.1039383191348905E-2</v>
      </c>
      <c r="D3554" s="6">
        <f t="shared" si="701"/>
        <v>1.6691721746794596E-4</v>
      </c>
      <c r="E3554" s="6">
        <f t="shared" si="702"/>
        <v>0</v>
      </c>
      <c r="F3554" s="6">
        <f t="shared" si="703"/>
        <v>0</v>
      </c>
      <c r="G3554" s="6">
        <f t="shared" si="704"/>
        <v>3.5804150070997396E-3</v>
      </c>
      <c r="H3554" s="10"/>
    </row>
    <row r="3555" spans="1:8">
      <c r="A3555" s="11" t="s">
        <v>131</v>
      </c>
      <c r="B3555" s="6">
        <f t="shared" si="699"/>
        <v>1.2870912591451927E-2</v>
      </c>
      <c r="C3555" s="6">
        <f t="shared" si="700"/>
        <v>0</v>
      </c>
      <c r="D3555" s="6">
        <f t="shared" si="701"/>
        <v>0</v>
      </c>
      <c r="E3555" s="6">
        <f t="shared" si="702"/>
        <v>0</v>
      </c>
      <c r="F3555" s="6">
        <f t="shared" si="703"/>
        <v>0</v>
      </c>
      <c r="G3555" s="6">
        <f t="shared" si="704"/>
        <v>0</v>
      </c>
      <c r="H3555" s="10"/>
    </row>
    <row r="3556" spans="1:8">
      <c r="A3556" s="11" t="s">
        <v>132</v>
      </c>
      <c r="B3556" s="6">
        <f t="shared" si="699"/>
        <v>1.3321330627312115E-2</v>
      </c>
      <c r="C3556" s="6">
        <f t="shared" si="700"/>
        <v>0</v>
      </c>
      <c r="D3556" s="6">
        <f t="shared" si="701"/>
        <v>0</v>
      </c>
      <c r="E3556" s="6">
        <f t="shared" si="702"/>
        <v>0</v>
      </c>
      <c r="F3556" s="6">
        <f t="shared" si="703"/>
        <v>0</v>
      </c>
      <c r="G3556" s="6">
        <f t="shared" si="704"/>
        <v>0</v>
      </c>
      <c r="H3556" s="10"/>
    </row>
    <row r="3557" spans="1:8">
      <c r="A3557" s="11" t="s">
        <v>133</v>
      </c>
      <c r="B3557" s="6">
        <f t="shared" si="699"/>
        <v>2.2904987501475401E-2</v>
      </c>
      <c r="C3557" s="6">
        <f t="shared" si="700"/>
        <v>0</v>
      </c>
      <c r="D3557" s="6">
        <f t="shared" si="701"/>
        <v>0</v>
      </c>
      <c r="E3557" s="6">
        <f t="shared" si="702"/>
        <v>0</v>
      </c>
      <c r="F3557" s="6">
        <f t="shared" si="703"/>
        <v>0</v>
      </c>
      <c r="G3557" s="6">
        <f t="shared" si="704"/>
        <v>0</v>
      </c>
      <c r="H3557" s="10"/>
    </row>
    <row r="3558" spans="1:8">
      <c r="A3558" s="11" t="s">
        <v>134</v>
      </c>
      <c r="B3558" s="6">
        <f t="shared" si="699"/>
        <v>1.2542347888345922E-2</v>
      </c>
      <c r="C3558" s="6">
        <f t="shared" si="700"/>
        <v>0</v>
      </c>
      <c r="D3558" s="6">
        <f t="shared" si="701"/>
        <v>0</v>
      </c>
      <c r="E3558" s="6">
        <f t="shared" si="702"/>
        <v>0</v>
      </c>
      <c r="F3558" s="6">
        <f t="shared" si="703"/>
        <v>0</v>
      </c>
      <c r="G3558" s="6">
        <f t="shared" si="704"/>
        <v>0</v>
      </c>
      <c r="H3558" s="10"/>
    </row>
    <row r="3559" spans="1:8">
      <c r="A3559" s="11" t="s">
        <v>135</v>
      </c>
      <c r="B3559" s="6">
        <f t="shared" si="699"/>
        <v>0.23387788956960423</v>
      </c>
      <c r="C3559" s="6">
        <f t="shared" si="700"/>
        <v>1.5862217442604409E-2</v>
      </c>
      <c r="D3559" s="6">
        <f t="shared" si="701"/>
        <v>1.6440060711890955E-4</v>
      </c>
      <c r="E3559" s="6">
        <f t="shared" si="702"/>
        <v>0</v>
      </c>
      <c r="F3559" s="6">
        <f t="shared" si="703"/>
        <v>0</v>
      </c>
      <c r="G3559" s="6">
        <f t="shared" si="704"/>
        <v>0</v>
      </c>
      <c r="H3559" s="10"/>
    </row>
    <row r="3560" spans="1:8">
      <c r="A3560" s="11" t="s">
        <v>1645</v>
      </c>
      <c r="B3560" s="6">
        <f t="shared" si="699"/>
        <v>-1.2352003642987249E-2</v>
      </c>
      <c r="C3560" s="6">
        <f t="shared" si="700"/>
        <v>0</v>
      </c>
      <c r="D3560" s="6">
        <f t="shared" si="701"/>
        <v>0</v>
      </c>
      <c r="E3560" s="6">
        <f t="shared" si="702"/>
        <v>0</v>
      </c>
      <c r="F3560" s="6">
        <f t="shared" si="703"/>
        <v>0</v>
      </c>
      <c r="G3560" s="6">
        <f t="shared" si="704"/>
        <v>0</v>
      </c>
      <c r="H3560" s="10"/>
    </row>
    <row r="3561" spans="1:8">
      <c r="A3561" s="11" t="s">
        <v>100</v>
      </c>
      <c r="B3561" s="6">
        <f t="shared" si="699"/>
        <v>-1.2112932604735883E-2</v>
      </c>
      <c r="C3561" s="6">
        <f t="shared" si="700"/>
        <v>0</v>
      </c>
      <c r="D3561" s="6">
        <f t="shared" si="701"/>
        <v>0</v>
      </c>
      <c r="E3561" s="6">
        <f t="shared" si="702"/>
        <v>0</v>
      </c>
      <c r="F3561" s="6">
        <f t="shared" si="703"/>
        <v>0</v>
      </c>
      <c r="G3561" s="6">
        <f t="shared" si="704"/>
        <v>0</v>
      </c>
      <c r="H3561" s="10"/>
    </row>
    <row r="3562" spans="1:8">
      <c r="A3562" s="11" t="s">
        <v>101</v>
      </c>
      <c r="B3562" s="6">
        <f t="shared" si="699"/>
        <v>-1.2352003642987249E-2</v>
      </c>
      <c r="C3562" s="6">
        <f t="shared" si="700"/>
        <v>0</v>
      </c>
      <c r="D3562" s="6">
        <f t="shared" si="701"/>
        <v>0</v>
      </c>
      <c r="E3562" s="6">
        <f t="shared" si="702"/>
        <v>0</v>
      </c>
      <c r="F3562" s="6">
        <f t="shared" si="703"/>
        <v>0</v>
      </c>
      <c r="G3562" s="6">
        <f t="shared" si="704"/>
        <v>3.2257625347216108E-3</v>
      </c>
      <c r="H3562" s="10"/>
    </row>
    <row r="3563" spans="1:8">
      <c r="A3563" s="11" t="s">
        <v>102</v>
      </c>
      <c r="B3563" s="6">
        <f t="shared" si="699"/>
        <v>-0.10415854135407362</v>
      </c>
      <c r="C3563" s="6">
        <f t="shared" si="700"/>
        <v>-1.0505163311325101E-2</v>
      </c>
      <c r="D3563" s="6">
        <f t="shared" si="701"/>
        <v>-1.5883972850465743E-4</v>
      </c>
      <c r="E3563" s="6">
        <f t="shared" si="702"/>
        <v>0</v>
      </c>
      <c r="F3563" s="6">
        <f t="shared" si="703"/>
        <v>0</v>
      </c>
      <c r="G3563" s="6">
        <f t="shared" si="704"/>
        <v>3.2257625347216108E-3</v>
      </c>
      <c r="H3563" s="10"/>
    </row>
    <row r="3564" spans="1:8">
      <c r="A3564" s="11" t="s">
        <v>103</v>
      </c>
      <c r="B3564" s="6">
        <f t="shared" si="699"/>
        <v>-1.2112932604735883E-2</v>
      </c>
      <c r="C3564" s="6">
        <f t="shared" si="700"/>
        <v>0</v>
      </c>
      <c r="D3564" s="6">
        <f t="shared" si="701"/>
        <v>0</v>
      </c>
      <c r="E3564" s="6">
        <f t="shared" si="702"/>
        <v>0</v>
      </c>
      <c r="F3564" s="6">
        <f t="shared" si="703"/>
        <v>0</v>
      </c>
      <c r="G3564" s="6">
        <f t="shared" si="704"/>
        <v>3.1633284211463543E-3</v>
      </c>
      <c r="H3564" s="10"/>
    </row>
    <row r="3565" spans="1:8">
      <c r="A3565" s="11" t="s">
        <v>104</v>
      </c>
      <c r="B3565" s="6">
        <f t="shared" si="699"/>
        <v>-0.10214256958593028</v>
      </c>
      <c r="C3565" s="6">
        <f t="shared" si="700"/>
        <v>-1.0301837569815583E-2</v>
      </c>
      <c r="D3565" s="6">
        <f t="shared" si="701"/>
        <v>-1.5576541117876084E-4</v>
      </c>
      <c r="E3565" s="6">
        <f t="shared" si="702"/>
        <v>0</v>
      </c>
      <c r="F3565" s="6">
        <f t="shared" si="703"/>
        <v>0</v>
      </c>
      <c r="G3565" s="6">
        <f t="shared" si="704"/>
        <v>3.1633284211463543E-3</v>
      </c>
      <c r="H3565" s="10"/>
    </row>
    <row r="3566" spans="1:8">
      <c r="A3566" s="11" t="s">
        <v>112</v>
      </c>
      <c r="B3566" s="6">
        <f t="shared" si="699"/>
        <v>-1.1884107468123862E-2</v>
      </c>
      <c r="C3566" s="6">
        <f t="shared" si="700"/>
        <v>0</v>
      </c>
      <c r="D3566" s="6">
        <f t="shared" si="701"/>
        <v>0</v>
      </c>
      <c r="E3566" s="6">
        <f t="shared" si="702"/>
        <v>0</v>
      </c>
      <c r="F3566" s="6">
        <f t="shared" si="703"/>
        <v>0</v>
      </c>
      <c r="G3566" s="6">
        <f t="shared" si="704"/>
        <v>3.103570055295751E-3</v>
      </c>
      <c r="H3566" s="10"/>
    </row>
    <row r="3567" spans="1:8">
      <c r="A3567" s="11" t="s">
        <v>113</v>
      </c>
      <c r="B3567" s="6">
        <f t="shared" si="699"/>
        <v>-0.1002129966078502</v>
      </c>
      <c r="C3567" s="6">
        <f t="shared" si="700"/>
        <v>-1.0107225788656471E-2</v>
      </c>
      <c r="D3567" s="6">
        <f t="shared" si="701"/>
        <v>-1.5282285030968838E-4</v>
      </c>
      <c r="E3567" s="6">
        <f t="shared" si="702"/>
        <v>0</v>
      </c>
      <c r="F3567" s="6">
        <f t="shared" si="703"/>
        <v>0</v>
      </c>
      <c r="G3567" s="6">
        <f t="shared" si="704"/>
        <v>3.103570055295751E-3</v>
      </c>
      <c r="H3567" s="10"/>
    </row>
    <row r="3569" spans="1:7" ht="21" customHeight="1">
      <c r="A3569" s="1" t="s">
        <v>839</v>
      </c>
    </row>
    <row r="3570" spans="1:7">
      <c r="A3570" s="2" t="s">
        <v>255</v>
      </c>
    </row>
    <row r="3571" spans="1:7">
      <c r="A3571" s="12" t="s">
        <v>840</v>
      </c>
    </row>
    <row r="3572" spans="1:7">
      <c r="A3572" s="12" t="s">
        <v>841</v>
      </c>
    </row>
    <row r="3573" spans="1:7">
      <c r="A3573" s="12" t="s">
        <v>842</v>
      </c>
    </row>
    <row r="3574" spans="1:7">
      <c r="A3574" s="12" t="s">
        <v>843</v>
      </c>
    </row>
    <row r="3575" spans="1:7">
      <c r="A3575" s="12" t="s">
        <v>844</v>
      </c>
    </row>
    <row r="3576" spans="1:7">
      <c r="A3576" s="12" t="s">
        <v>845</v>
      </c>
    </row>
    <row r="3577" spans="1:7">
      <c r="A3577" s="12" t="s">
        <v>846</v>
      </c>
    </row>
    <row r="3578" spans="1:7">
      <c r="A3578" s="12" t="s">
        <v>847</v>
      </c>
    </row>
    <row r="3579" spans="1:7">
      <c r="A3579" s="12" t="s">
        <v>848</v>
      </c>
    </row>
    <row r="3580" spans="1:7">
      <c r="A3580" s="12" t="s">
        <v>849</v>
      </c>
    </row>
    <row r="3581" spans="1:7">
      <c r="A3581" s="12" t="s">
        <v>850</v>
      </c>
    </row>
    <row r="3582" spans="1:7">
      <c r="A3582" s="12" t="s">
        <v>803</v>
      </c>
    </row>
    <row r="3583" spans="1:7">
      <c r="A3583" s="21" t="s">
        <v>258</v>
      </c>
      <c r="B3583" s="21" t="s">
        <v>385</v>
      </c>
      <c r="C3583" s="21" t="s">
        <v>385</v>
      </c>
      <c r="D3583" s="21" t="s">
        <v>385</v>
      </c>
      <c r="E3583" s="21" t="s">
        <v>385</v>
      </c>
      <c r="F3583" s="21" t="s">
        <v>385</v>
      </c>
      <c r="G3583" s="21" t="s">
        <v>385</v>
      </c>
    </row>
    <row r="3584" spans="1:7">
      <c r="A3584" s="21" t="s">
        <v>261</v>
      </c>
      <c r="B3584" s="21" t="s">
        <v>851</v>
      </c>
      <c r="C3584" s="21" t="s">
        <v>852</v>
      </c>
      <c r="D3584" s="21" t="s">
        <v>853</v>
      </c>
      <c r="E3584" s="21" t="s">
        <v>854</v>
      </c>
      <c r="F3584" s="21" t="s">
        <v>855</v>
      </c>
      <c r="G3584" s="21" t="s">
        <v>856</v>
      </c>
    </row>
    <row r="3586" spans="1:8" ht="30">
      <c r="B3586" s="3" t="s">
        <v>857</v>
      </c>
      <c r="C3586" s="3" t="s">
        <v>858</v>
      </c>
      <c r="D3586" s="3" t="s">
        <v>859</v>
      </c>
      <c r="E3586" s="3" t="s">
        <v>860</v>
      </c>
      <c r="F3586" s="3" t="s">
        <v>861</v>
      </c>
      <c r="G3586" s="3" t="s">
        <v>862</v>
      </c>
    </row>
    <row r="3587" spans="1:8">
      <c r="A3587" s="11" t="s">
        <v>92</v>
      </c>
      <c r="B3587" s="6">
        <f t="shared" ref="B3587:B3613" si="705">IF(B3541,0-B3421/B3541,0)</f>
        <v>-71.54678726911402</v>
      </c>
      <c r="C3587" s="9"/>
      <c r="D3587" s="9"/>
      <c r="E3587" s="6">
        <f>IF(E3541,0-E3421/E3541,0)</f>
        <v>0</v>
      </c>
      <c r="F3587" s="9"/>
      <c r="G3587" s="9"/>
      <c r="H3587" s="10"/>
    </row>
    <row r="3588" spans="1:8">
      <c r="A3588" s="11" t="s">
        <v>93</v>
      </c>
      <c r="B3588" s="6">
        <f t="shared" si="705"/>
        <v>-69.18034037952404</v>
      </c>
      <c r="C3588" s="6">
        <f>IF(C3542,0-C3422/C3542,0)</f>
        <v>-245.64050584678085</v>
      </c>
      <c r="D3588" s="9"/>
      <c r="E3588" s="6">
        <f>IF(E3542,0-E3422/E3542,0)</f>
        <v>0</v>
      </c>
      <c r="F3588" s="9"/>
      <c r="G3588" s="9"/>
      <c r="H3588" s="10"/>
    </row>
    <row r="3589" spans="1:8">
      <c r="A3589" s="11" t="s">
        <v>129</v>
      </c>
      <c r="B3589" s="6">
        <f t="shared" si="705"/>
        <v>-108.48612831364903</v>
      </c>
      <c r="C3589" s="9"/>
      <c r="D3589" s="9"/>
      <c r="E3589" s="9"/>
      <c r="F3589" s="9"/>
      <c r="G3589" s="9"/>
      <c r="H3589" s="10"/>
    </row>
    <row r="3590" spans="1:8">
      <c r="A3590" s="11" t="s">
        <v>94</v>
      </c>
      <c r="B3590" s="6">
        <f t="shared" si="705"/>
        <v>-71.546787269114034</v>
      </c>
      <c r="C3590" s="9"/>
      <c r="D3590" s="9"/>
      <c r="E3590" s="6">
        <f>IF(E3544,0-E3424/E3544,0)</f>
        <v>0</v>
      </c>
      <c r="F3590" s="9"/>
      <c r="G3590" s="9"/>
      <c r="H3590" s="10"/>
    </row>
    <row r="3591" spans="1:8">
      <c r="A3591" s="11" t="s">
        <v>95</v>
      </c>
      <c r="B3591" s="6">
        <f t="shared" si="705"/>
        <v>-69.008422420827173</v>
      </c>
      <c r="C3591" s="6">
        <f>IF(C3545,0-C3425/C3545,0)</f>
        <v>-184.93676044911595</v>
      </c>
      <c r="D3591" s="9"/>
      <c r="E3591" s="6">
        <f>IF(E3545,0-E3425/E3545,0)</f>
        <v>0</v>
      </c>
      <c r="F3591" s="9"/>
      <c r="G3591" s="9"/>
      <c r="H3591" s="10"/>
    </row>
    <row r="3592" spans="1:8">
      <c r="A3592" s="11" t="s">
        <v>130</v>
      </c>
      <c r="B3592" s="6">
        <f t="shared" si="705"/>
        <v>-106.06546263498014</v>
      </c>
      <c r="C3592" s="9"/>
      <c r="D3592" s="9"/>
      <c r="E3592" s="9"/>
      <c r="F3592" s="9"/>
      <c r="G3592" s="9"/>
      <c r="H3592" s="10"/>
    </row>
    <row r="3593" spans="1:8">
      <c r="A3593" s="11" t="s">
        <v>96</v>
      </c>
      <c r="B3593" s="6">
        <f t="shared" si="705"/>
        <v>-68.936711297361612</v>
      </c>
      <c r="C3593" s="6">
        <f t="shared" ref="C3593:C3600" si="706">IF(C3547,0-C3427/C3547,0)</f>
        <v>-518.75751076322319</v>
      </c>
      <c r="D3593" s="9"/>
      <c r="E3593" s="6">
        <f t="shared" ref="E3593:E3600" si="707">IF(E3547,0-E3427/E3547,0)</f>
        <v>0</v>
      </c>
      <c r="F3593" s="9"/>
      <c r="G3593" s="9"/>
      <c r="H3593" s="10"/>
    </row>
    <row r="3594" spans="1:8">
      <c r="A3594" s="11" t="s">
        <v>97</v>
      </c>
      <c r="B3594" s="6">
        <f t="shared" si="705"/>
        <v>-64.384273724100439</v>
      </c>
      <c r="C3594" s="6">
        <f t="shared" si="706"/>
        <v>-532.01718863838039</v>
      </c>
      <c r="D3594" s="9"/>
      <c r="E3594" s="6">
        <f t="shared" si="707"/>
        <v>0</v>
      </c>
      <c r="F3594" s="9"/>
      <c r="G3594" s="9"/>
      <c r="H3594" s="10"/>
    </row>
    <row r="3595" spans="1:8">
      <c r="A3595" s="11" t="s">
        <v>110</v>
      </c>
      <c r="B3595" s="6">
        <f t="shared" si="705"/>
        <v>-39.007267846342323</v>
      </c>
      <c r="C3595" s="6">
        <f t="shared" si="706"/>
        <v>-315.77945343150122</v>
      </c>
      <c r="D3595" s="9"/>
      <c r="E3595" s="6">
        <f t="shared" si="707"/>
        <v>0</v>
      </c>
      <c r="F3595" s="9"/>
      <c r="G3595" s="9"/>
      <c r="H3595" s="10"/>
    </row>
    <row r="3596" spans="1:8">
      <c r="A3596" s="11" t="s">
        <v>1647</v>
      </c>
      <c r="B3596" s="6">
        <f t="shared" si="705"/>
        <v>-69.756484894630901</v>
      </c>
      <c r="C3596" s="6">
        <f t="shared" si="706"/>
        <v>-68.03152265145502</v>
      </c>
      <c r="D3596" s="6">
        <f>IF(D3550,0-D3430/D3550,0)</f>
        <v>-688.37372615740571</v>
      </c>
      <c r="E3596" s="6">
        <f t="shared" si="707"/>
        <v>0</v>
      </c>
      <c r="F3596" s="9"/>
      <c r="G3596" s="9"/>
      <c r="H3596" s="10"/>
    </row>
    <row r="3597" spans="1:8">
      <c r="A3597" s="11" t="s">
        <v>1646</v>
      </c>
      <c r="B3597" s="6">
        <f t="shared" si="705"/>
        <v>-69.502747173612875</v>
      </c>
      <c r="C3597" s="6">
        <f t="shared" si="706"/>
        <v>-67.654133362745583</v>
      </c>
      <c r="D3597" s="6">
        <f>IF(D3551,0-D3431/D3551,0)</f>
        <v>-686.73198863211985</v>
      </c>
      <c r="E3597" s="6">
        <f t="shared" si="707"/>
        <v>0</v>
      </c>
      <c r="F3597" s="9"/>
      <c r="G3597" s="9"/>
      <c r="H3597" s="10"/>
    </row>
    <row r="3598" spans="1:8">
      <c r="A3598" s="11" t="s">
        <v>98</v>
      </c>
      <c r="B3598" s="6">
        <f t="shared" si="705"/>
        <v>-61.098722050372182</v>
      </c>
      <c r="C3598" s="6">
        <f t="shared" si="706"/>
        <v>-58.518933353384632</v>
      </c>
      <c r="D3598" s="6">
        <f>IF(D3552,0-D3432/D3552,0)</f>
        <v>-603.8758893762863</v>
      </c>
      <c r="E3598" s="6">
        <f t="shared" si="707"/>
        <v>0</v>
      </c>
      <c r="F3598" s="6">
        <f t="shared" ref="F3598:G3600" si="708">IF(F3552,0-F3432/F3552,0)</f>
        <v>0</v>
      </c>
      <c r="G3598" s="6">
        <f t="shared" si="708"/>
        <v>-63.622821806031858</v>
      </c>
      <c r="H3598" s="10"/>
    </row>
    <row r="3599" spans="1:8">
      <c r="A3599" s="11" t="s">
        <v>99</v>
      </c>
      <c r="B3599" s="6">
        <f t="shared" si="705"/>
        <v>-49.242429461101686</v>
      </c>
      <c r="C3599" s="6">
        <f t="shared" si="706"/>
        <v>-45.23816450126828</v>
      </c>
      <c r="D3599" s="6">
        <f>IF(D3553,0-D3433/D3553,0)</f>
        <v>-490.31001224892947</v>
      </c>
      <c r="E3599" s="6">
        <f t="shared" si="707"/>
        <v>0</v>
      </c>
      <c r="F3599" s="6">
        <f t="shared" si="708"/>
        <v>0</v>
      </c>
      <c r="G3599" s="6">
        <f t="shared" si="708"/>
        <v>-50.597497627233885</v>
      </c>
      <c r="H3599" s="10"/>
    </row>
    <row r="3600" spans="1:8">
      <c r="A3600" s="11" t="s">
        <v>111</v>
      </c>
      <c r="B3600" s="6">
        <f t="shared" si="705"/>
        <v>-40.06615045894565</v>
      </c>
      <c r="C3600" s="6">
        <f t="shared" si="706"/>
        <v>-35.914954785107639</v>
      </c>
      <c r="D3600" s="6">
        <f>IF(D3554,0-D3434/D3554,0)</f>
        <v>-394.32549326655555</v>
      </c>
      <c r="E3600" s="6">
        <f t="shared" si="707"/>
        <v>0</v>
      </c>
      <c r="F3600" s="6">
        <f t="shared" si="708"/>
        <v>0</v>
      </c>
      <c r="G3600" s="6">
        <f t="shared" si="708"/>
        <v>-40.813402053145055</v>
      </c>
      <c r="H3600" s="10"/>
    </row>
    <row r="3601" spans="1:8">
      <c r="A3601" s="11" t="s">
        <v>131</v>
      </c>
      <c r="B3601" s="6">
        <f t="shared" si="705"/>
        <v>-146.7659651119163</v>
      </c>
      <c r="C3601" s="9"/>
      <c r="D3601" s="9"/>
      <c r="E3601" s="9"/>
      <c r="F3601" s="9"/>
      <c r="G3601" s="9"/>
      <c r="H3601" s="10"/>
    </row>
    <row r="3602" spans="1:8">
      <c r="A3602" s="11" t="s">
        <v>132</v>
      </c>
      <c r="B3602" s="6">
        <f t="shared" si="705"/>
        <v>-165.94306515738631</v>
      </c>
      <c r="C3602" s="9"/>
      <c r="D3602" s="9"/>
      <c r="E3602" s="9"/>
      <c r="F3602" s="9"/>
      <c r="G3602" s="9"/>
      <c r="H3602" s="10"/>
    </row>
    <row r="3603" spans="1:8">
      <c r="A3603" s="11" t="s">
        <v>133</v>
      </c>
      <c r="B3603" s="6">
        <f t="shared" si="705"/>
        <v>-136.42020180430009</v>
      </c>
      <c r="C3603" s="9"/>
      <c r="D3603" s="9"/>
      <c r="E3603" s="9"/>
      <c r="F3603" s="9"/>
      <c r="G3603" s="9"/>
      <c r="H3603" s="10"/>
    </row>
    <row r="3604" spans="1:8">
      <c r="A3604" s="11" t="s">
        <v>134</v>
      </c>
      <c r="B3604" s="6">
        <f t="shared" si="705"/>
        <v>-128.27323846238204</v>
      </c>
      <c r="C3604" s="9"/>
      <c r="D3604" s="9"/>
      <c r="E3604" s="9"/>
      <c r="F3604" s="9"/>
      <c r="G3604" s="9"/>
      <c r="H3604" s="10"/>
    </row>
    <row r="3605" spans="1:8">
      <c r="A3605" s="11" t="s">
        <v>135</v>
      </c>
      <c r="B3605" s="6">
        <f t="shared" si="705"/>
        <v>-112.64546310374577</v>
      </c>
      <c r="C3605" s="6">
        <f>IF(C3559,0-C3439/C3559,0)</f>
        <v>-108.51085200824141</v>
      </c>
      <c r="D3605" s="6">
        <f>IF(D3559,0-D3439/D3559,0)</f>
        <v>-5872.6400863349299</v>
      </c>
      <c r="E3605" s="9"/>
      <c r="F3605" s="9"/>
      <c r="G3605" s="9"/>
      <c r="H3605" s="10"/>
    </row>
    <row r="3606" spans="1:8">
      <c r="A3606" s="11" t="s">
        <v>1645</v>
      </c>
      <c r="B3606" s="6">
        <f t="shared" si="705"/>
        <v>-71.54678726911402</v>
      </c>
      <c r="C3606" s="9"/>
      <c r="D3606" s="9"/>
      <c r="E3606" s="6">
        <f t="shared" ref="E3606:E3613" si="709">IF(E3560,0-E3440/E3560,0)</f>
        <v>0</v>
      </c>
      <c r="F3606" s="9"/>
      <c r="G3606" s="9"/>
      <c r="H3606" s="10"/>
    </row>
    <row r="3607" spans="1:8">
      <c r="A3607" s="11" t="s">
        <v>100</v>
      </c>
      <c r="B3607" s="6">
        <f t="shared" si="705"/>
        <v>-66.879152850731373</v>
      </c>
      <c r="C3607" s="9"/>
      <c r="D3607" s="9"/>
      <c r="E3607" s="6">
        <f t="shared" si="709"/>
        <v>0</v>
      </c>
      <c r="F3607" s="9"/>
      <c r="G3607" s="9"/>
      <c r="H3607" s="10"/>
    </row>
    <row r="3608" spans="1:8">
      <c r="A3608" s="11" t="s">
        <v>101</v>
      </c>
      <c r="B3608" s="6">
        <f t="shared" si="705"/>
        <v>-71.54678726911402</v>
      </c>
      <c r="C3608" s="9"/>
      <c r="D3608" s="9"/>
      <c r="E3608" s="6">
        <f t="shared" si="709"/>
        <v>0</v>
      </c>
      <c r="F3608" s="9"/>
      <c r="G3608" s="6">
        <f t="shared" ref="G3608:G3613" si="710">IF(G3562,0-G3442/G3562,0)</f>
        <v>-89.516081666109756</v>
      </c>
      <c r="H3608" s="10"/>
    </row>
    <row r="3609" spans="1:8">
      <c r="A3609" s="11" t="s">
        <v>102</v>
      </c>
      <c r="B3609" s="6">
        <f t="shared" si="705"/>
        <v>-68.311506293431677</v>
      </c>
      <c r="C3609" s="6">
        <f>IF(C3563,0-C3443/C3563,0)</f>
        <v>-66.598298769766799</v>
      </c>
      <c r="D3609" s="6">
        <f>IF(D3563,0-D3443/D3563,0)</f>
        <v>-672.96377354630999</v>
      </c>
      <c r="E3609" s="6">
        <f t="shared" si="709"/>
        <v>0</v>
      </c>
      <c r="F3609" s="9"/>
      <c r="G3609" s="6">
        <f t="shared" si="710"/>
        <v>-89.516081666109756</v>
      </c>
      <c r="H3609" s="10"/>
    </row>
    <row r="3610" spans="1:8">
      <c r="A3610" s="11" t="s">
        <v>103</v>
      </c>
      <c r="B3610" s="6">
        <f t="shared" si="705"/>
        <v>-66.879152850731373</v>
      </c>
      <c r="C3610" s="9"/>
      <c r="D3610" s="9"/>
      <c r="E3610" s="6">
        <f t="shared" si="709"/>
        <v>0</v>
      </c>
      <c r="F3610" s="9"/>
      <c r="G3610" s="6">
        <f t="shared" si="710"/>
        <v>-79.902871061605751</v>
      </c>
      <c r="H3610" s="10"/>
    </row>
    <row r="3611" spans="1:8">
      <c r="A3611" s="11" t="s">
        <v>104</v>
      </c>
      <c r="B3611" s="6">
        <f t="shared" si="705"/>
        <v>-64.062795197689809</v>
      </c>
      <c r="C3611" s="6">
        <f>IF(C3565,0-C3445/C3565,0)</f>
        <v>-61.83912556641372</v>
      </c>
      <c r="D3611" s="6">
        <f>IF(D3565,0-D3445/D3565,0)</f>
        <v>-632.26735865812554</v>
      </c>
      <c r="E3611" s="6">
        <f t="shared" si="709"/>
        <v>0</v>
      </c>
      <c r="F3611" s="9"/>
      <c r="G3611" s="6">
        <f t="shared" si="710"/>
        <v>-79.902871061605751</v>
      </c>
      <c r="H3611" s="10"/>
    </row>
    <row r="3612" spans="1:8">
      <c r="A3612" s="11" t="s">
        <v>112</v>
      </c>
      <c r="B3612" s="6">
        <f t="shared" si="705"/>
        <v>-47.268327879795336</v>
      </c>
      <c r="C3612" s="9"/>
      <c r="D3612" s="9"/>
      <c r="E3612" s="6">
        <f t="shared" si="709"/>
        <v>0</v>
      </c>
      <c r="F3612" s="9"/>
      <c r="G3612" s="6">
        <f t="shared" si="710"/>
        <v>-66.692296565100293</v>
      </c>
      <c r="H3612" s="10"/>
    </row>
    <row r="3613" spans="1:8">
      <c r="A3613" s="11" t="s">
        <v>113</v>
      </c>
      <c r="B3613" s="6">
        <f t="shared" si="705"/>
        <v>-46.14675253681169</v>
      </c>
      <c r="C3613" s="6">
        <f>IF(C3567,0-C3447/C3567,0)</f>
        <v>-42.001400905541232</v>
      </c>
      <c r="D3613" s="6">
        <f>IF(D3567,0-D3447/D3567,0)</f>
        <v>-458.70376544667505</v>
      </c>
      <c r="E3613" s="6">
        <f t="shared" si="709"/>
        <v>0</v>
      </c>
      <c r="F3613" s="9"/>
      <c r="G3613" s="6">
        <f t="shared" si="710"/>
        <v>-66.692296565100293</v>
      </c>
      <c r="H3613" s="10"/>
    </row>
    <row r="3615" spans="1:8" ht="21" customHeight="1">
      <c r="A3615" s="1" t="s">
        <v>863</v>
      </c>
    </row>
    <row r="3616" spans="1:8">
      <c r="A3616" s="2" t="s">
        <v>255</v>
      </c>
    </row>
    <row r="3617" spans="1:7">
      <c r="A3617" s="12" t="s">
        <v>750</v>
      </c>
    </row>
    <row r="3618" spans="1:7">
      <c r="A3618" s="12" t="s">
        <v>864</v>
      </c>
    </row>
    <row r="3619" spans="1:7">
      <c r="A3619" s="12" t="s">
        <v>865</v>
      </c>
    </row>
    <row r="3620" spans="1:7">
      <c r="A3620" s="12" t="s">
        <v>866</v>
      </c>
    </row>
    <row r="3621" spans="1:7">
      <c r="A3621" s="12" t="s">
        <v>867</v>
      </c>
    </row>
    <row r="3622" spans="1:7">
      <c r="A3622" s="12" t="s">
        <v>868</v>
      </c>
    </row>
    <row r="3623" spans="1:7">
      <c r="A3623" s="12" t="s">
        <v>869</v>
      </c>
    </row>
    <row r="3624" spans="1:7">
      <c r="A3624" s="12" t="s">
        <v>870</v>
      </c>
    </row>
    <row r="3625" spans="1:7">
      <c r="A3625" s="12" t="s">
        <v>871</v>
      </c>
    </row>
    <row r="3626" spans="1:7">
      <c r="A3626" s="12" t="s">
        <v>872</v>
      </c>
    </row>
    <row r="3627" spans="1:7">
      <c r="A3627" s="12" t="s">
        <v>873</v>
      </c>
    </row>
    <row r="3628" spans="1:7">
      <c r="A3628" s="12" t="s">
        <v>874</v>
      </c>
    </row>
    <row r="3629" spans="1:7">
      <c r="A3629" s="12" t="s">
        <v>875</v>
      </c>
    </row>
    <row r="3630" spans="1:7">
      <c r="A3630" s="12" t="s">
        <v>876</v>
      </c>
    </row>
    <row r="3631" spans="1:7">
      <c r="A3631" s="21" t="s">
        <v>258</v>
      </c>
      <c r="B3631" s="21" t="s">
        <v>385</v>
      </c>
      <c r="C3631" s="21" t="s">
        <v>385</v>
      </c>
      <c r="D3631" s="21" t="s">
        <v>385</v>
      </c>
      <c r="E3631" s="21" t="s">
        <v>385</v>
      </c>
      <c r="F3631" s="21" t="s">
        <v>385</v>
      </c>
      <c r="G3631" s="21" t="s">
        <v>385</v>
      </c>
    </row>
    <row r="3632" spans="1:7">
      <c r="A3632" s="21" t="s">
        <v>261</v>
      </c>
      <c r="B3632" s="21" t="s">
        <v>877</v>
      </c>
      <c r="C3632" s="21" t="s">
        <v>878</v>
      </c>
      <c r="D3632" s="21" t="s">
        <v>879</v>
      </c>
      <c r="E3632" s="21" t="s">
        <v>880</v>
      </c>
      <c r="F3632" s="21" t="s">
        <v>881</v>
      </c>
      <c r="G3632" s="21" t="s">
        <v>882</v>
      </c>
    </row>
    <row r="3634" spans="1:8" ht="30">
      <c r="B3634" s="3" t="s">
        <v>883</v>
      </c>
      <c r="C3634" s="3" t="s">
        <v>884</v>
      </c>
      <c r="D3634" s="3" t="s">
        <v>885</v>
      </c>
      <c r="E3634" s="3" t="s">
        <v>886</v>
      </c>
      <c r="F3634" s="3" t="s">
        <v>887</v>
      </c>
      <c r="G3634" s="3" t="s">
        <v>888</v>
      </c>
    </row>
    <row r="3635" spans="1:8">
      <c r="A3635" s="11" t="s">
        <v>92</v>
      </c>
      <c r="B3635" s="6">
        <f t="shared" ref="B3635:B3661" si="711">IF(B914&lt;0,0,B3541*B1170*10)</f>
        <v>781973.44148305955</v>
      </c>
      <c r="C3635" s="6">
        <f t="shared" ref="C3635:C3661" si="712">IF(B914&lt;0,0,C3541*C1170*10)</f>
        <v>0</v>
      </c>
      <c r="D3635" s="6">
        <f t="shared" ref="D3635:D3661" si="713">IF(B914&lt;0,0,D3541*D1170*10)</f>
        <v>0</v>
      </c>
      <c r="E3635" s="6">
        <f t="shared" ref="E3635:E3661" si="714">E3541*F$14*E1170/100</f>
        <v>0</v>
      </c>
      <c r="F3635" s="6">
        <f t="shared" ref="F3635:F3661" si="715">F3541*F$14*F1170/100</f>
        <v>0</v>
      </c>
      <c r="G3635" s="6">
        <f t="shared" ref="G3635:G3661" si="716">IF(B914&lt;0,0,G3541*G1170*10)</f>
        <v>0</v>
      </c>
      <c r="H3635" s="10"/>
    </row>
    <row r="3636" spans="1:8">
      <c r="A3636" s="11" t="s">
        <v>93</v>
      </c>
      <c r="B3636" s="6">
        <f t="shared" si="711"/>
        <v>46557.800043696901</v>
      </c>
      <c r="C3636" s="6">
        <f t="shared" si="712"/>
        <v>1279.2963653438544</v>
      </c>
      <c r="D3636" s="6">
        <f t="shared" si="713"/>
        <v>0</v>
      </c>
      <c r="E3636" s="6">
        <f t="shared" si="714"/>
        <v>0</v>
      </c>
      <c r="F3636" s="6">
        <f t="shared" si="715"/>
        <v>0</v>
      </c>
      <c r="G3636" s="6">
        <f t="shared" si="716"/>
        <v>0</v>
      </c>
      <c r="H3636" s="10"/>
    </row>
    <row r="3637" spans="1:8">
      <c r="A3637" s="11" t="s">
        <v>129</v>
      </c>
      <c r="B3637" s="6">
        <f t="shared" si="711"/>
        <v>69.016522106620442</v>
      </c>
      <c r="C3637" s="6">
        <f t="shared" si="712"/>
        <v>0</v>
      </c>
      <c r="D3637" s="6">
        <f t="shared" si="713"/>
        <v>0</v>
      </c>
      <c r="E3637" s="6">
        <f t="shared" si="714"/>
        <v>0</v>
      </c>
      <c r="F3637" s="6">
        <f t="shared" si="715"/>
        <v>0</v>
      </c>
      <c r="G3637" s="6">
        <f t="shared" si="716"/>
        <v>0</v>
      </c>
      <c r="H3637" s="10"/>
    </row>
    <row r="3638" spans="1:8">
      <c r="A3638" s="11" t="s">
        <v>94</v>
      </c>
      <c r="B3638" s="6">
        <f t="shared" si="711"/>
        <v>156052.48197006597</v>
      </c>
      <c r="C3638" s="6">
        <f t="shared" si="712"/>
        <v>0</v>
      </c>
      <c r="D3638" s="6">
        <f t="shared" si="713"/>
        <v>0</v>
      </c>
      <c r="E3638" s="6">
        <f t="shared" si="714"/>
        <v>0</v>
      </c>
      <c r="F3638" s="6">
        <f t="shared" si="715"/>
        <v>0</v>
      </c>
      <c r="G3638" s="6">
        <f t="shared" si="716"/>
        <v>0</v>
      </c>
      <c r="H3638" s="10"/>
    </row>
    <row r="3639" spans="1:8">
      <c r="A3639" s="11" t="s">
        <v>95</v>
      </c>
      <c r="B3639" s="6">
        <f t="shared" si="711"/>
        <v>51543.559715385883</v>
      </c>
      <c r="C3639" s="6">
        <f t="shared" si="712"/>
        <v>1034.6792369852424</v>
      </c>
      <c r="D3639" s="6">
        <f t="shared" si="713"/>
        <v>0</v>
      </c>
      <c r="E3639" s="6">
        <f t="shared" si="714"/>
        <v>0</v>
      </c>
      <c r="F3639" s="6">
        <f t="shared" si="715"/>
        <v>0</v>
      </c>
      <c r="G3639" s="6">
        <f t="shared" si="716"/>
        <v>0</v>
      </c>
      <c r="H3639" s="10"/>
    </row>
    <row r="3640" spans="1:8">
      <c r="A3640" s="11" t="s">
        <v>130</v>
      </c>
      <c r="B3640" s="6">
        <f t="shared" si="711"/>
        <v>45.399682985920649</v>
      </c>
      <c r="C3640" s="6">
        <f t="shared" si="712"/>
        <v>0</v>
      </c>
      <c r="D3640" s="6">
        <f t="shared" si="713"/>
        <v>0</v>
      </c>
      <c r="E3640" s="6">
        <f t="shared" si="714"/>
        <v>0</v>
      </c>
      <c r="F3640" s="6">
        <f t="shared" si="715"/>
        <v>0</v>
      </c>
      <c r="G3640" s="6">
        <f t="shared" si="716"/>
        <v>0</v>
      </c>
      <c r="H3640" s="10"/>
    </row>
    <row r="3641" spans="1:8">
      <c r="A3641" s="11" t="s">
        <v>96</v>
      </c>
      <c r="B3641" s="6">
        <f t="shared" si="711"/>
        <v>88300.092510295421</v>
      </c>
      <c r="C3641" s="6">
        <f t="shared" si="712"/>
        <v>280.74040096186047</v>
      </c>
      <c r="D3641" s="6">
        <f t="shared" si="713"/>
        <v>0</v>
      </c>
      <c r="E3641" s="6">
        <f t="shared" si="714"/>
        <v>0</v>
      </c>
      <c r="F3641" s="6">
        <f t="shared" si="715"/>
        <v>0</v>
      </c>
      <c r="G3641" s="6">
        <f t="shared" si="716"/>
        <v>0</v>
      </c>
      <c r="H3641" s="10"/>
    </row>
    <row r="3642" spans="1:8">
      <c r="A3642" s="11" t="s">
        <v>97</v>
      </c>
      <c r="B3642" s="6">
        <f t="shared" si="711"/>
        <v>119.26736786753713</v>
      </c>
      <c r="C3642" s="6">
        <f t="shared" si="712"/>
        <v>0.34925074079425844</v>
      </c>
      <c r="D3642" s="6">
        <f t="shared" si="713"/>
        <v>0</v>
      </c>
      <c r="E3642" s="6">
        <f t="shared" si="714"/>
        <v>0</v>
      </c>
      <c r="F3642" s="6">
        <f t="shared" si="715"/>
        <v>0</v>
      </c>
      <c r="G3642" s="6">
        <f t="shared" si="716"/>
        <v>0</v>
      </c>
      <c r="H3642" s="10"/>
    </row>
    <row r="3643" spans="1:8">
      <c r="A3643" s="11" t="s">
        <v>110</v>
      </c>
      <c r="B3643" s="6">
        <f t="shared" si="711"/>
        <v>161.47372613474818</v>
      </c>
      <c r="C3643" s="6">
        <f t="shared" si="712"/>
        <v>0.39755035497183061</v>
      </c>
      <c r="D3643" s="6">
        <f t="shared" si="713"/>
        <v>0</v>
      </c>
      <c r="E3643" s="6">
        <f t="shared" si="714"/>
        <v>0</v>
      </c>
      <c r="F3643" s="6">
        <f t="shared" si="715"/>
        <v>0</v>
      </c>
      <c r="G3643" s="6">
        <f t="shared" si="716"/>
        <v>0</v>
      </c>
      <c r="H3643" s="10"/>
    </row>
    <row r="3644" spans="1:8">
      <c r="A3644" s="11" t="s">
        <v>1647</v>
      </c>
      <c r="B3644" s="6">
        <f t="shared" si="711"/>
        <v>0</v>
      </c>
      <c r="C3644" s="6">
        <f t="shared" si="712"/>
        <v>0</v>
      </c>
      <c r="D3644" s="6">
        <f t="shared" si="713"/>
        <v>0</v>
      </c>
      <c r="E3644" s="6">
        <f t="shared" si="714"/>
        <v>0</v>
      </c>
      <c r="F3644" s="6">
        <f t="shared" si="715"/>
        <v>0</v>
      </c>
      <c r="G3644" s="6">
        <f t="shared" si="716"/>
        <v>0</v>
      </c>
      <c r="H3644" s="10"/>
    </row>
    <row r="3645" spans="1:8">
      <c r="A3645" s="11" t="s">
        <v>1646</v>
      </c>
      <c r="B3645" s="6">
        <f t="shared" si="711"/>
        <v>0</v>
      </c>
      <c r="C3645" s="6">
        <f t="shared" si="712"/>
        <v>0</v>
      </c>
      <c r="D3645" s="6">
        <f t="shared" si="713"/>
        <v>0</v>
      </c>
      <c r="E3645" s="6">
        <f t="shared" si="714"/>
        <v>0</v>
      </c>
      <c r="F3645" s="6">
        <f t="shared" si="715"/>
        <v>0</v>
      </c>
      <c r="G3645" s="6">
        <f t="shared" si="716"/>
        <v>0</v>
      </c>
      <c r="H3645" s="10"/>
    </row>
    <row r="3646" spans="1:8">
      <c r="A3646" s="11" t="s">
        <v>98</v>
      </c>
      <c r="B3646" s="6">
        <f t="shared" si="711"/>
        <v>128553.94141231207</v>
      </c>
      <c r="C3646" s="6">
        <f t="shared" si="712"/>
        <v>82068.760763746381</v>
      </c>
      <c r="D3646" s="6">
        <f t="shared" si="713"/>
        <v>917.7084924826903</v>
      </c>
      <c r="E3646" s="6">
        <f t="shared" si="714"/>
        <v>0</v>
      </c>
      <c r="F3646" s="6">
        <f t="shared" si="715"/>
        <v>0</v>
      </c>
      <c r="G3646" s="6">
        <f t="shared" si="716"/>
        <v>5095.9247047846466</v>
      </c>
      <c r="H3646" s="10"/>
    </row>
    <row r="3647" spans="1:8">
      <c r="A3647" s="11" t="s">
        <v>99</v>
      </c>
      <c r="B3647" s="6">
        <f t="shared" si="711"/>
        <v>1694.4182807290731</v>
      </c>
      <c r="C3647" s="6">
        <f t="shared" si="712"/>
        <v>965.11189893119717</v>
      </c>
      <c r="D3647" s="6">
        <f t="shared" si="713"/>
        <v>10.867478092814203</v>
      </c>
      <c r="E3647" s="6">
        <f t="shared" si="714"/>
        <v>0</v>
      </c>
      <c r="F3647" s="6">
        <f t="shared" si="715"/>
        <v>0</v>
      </c>
      <c r="G3647" s="6">
        <f t="shared" si="716"/>
        <v>74.930561478491825</v>
      </c>
      <c r="H3647" s="10"/>
    </row>
    <row r="3648" spans="1:8">
      <c r="A3648" s="11" t="s">
        <v>111</v>
      </c>
      <c r="B3648" s="6">
        <f t="shared" si="711"/>
        <v>184610.88452106775</v>
      </c>
      <c r="C3648" s="6">
        <f t="shared" si="712"/>
        <v>112389.33824041419</v>
      </c>
      <c r="D3648" s="6">
        <f t="shared" si="713"/>
        <v>1593.6134966209988</v>
      </c>
      <c r="E3648" s="6">
        <f t="shared" si="714"/>
        <v>0</v>
      </c>
      <c r="F3648" s="6">
        <f t="shared" si="715"/>
        <v>0</v>
      </c>
      <c r="G3648" s="6">
        <f t="shared" si="716"/>
        <v>5767.1781428174563</v>
      </c>
      <c r="H3648" s="10"/>
    </row>
    <row r="3649" spans="1:8">
      <c r="A3649" s="11" t="s">
        <v>131</v>
      </c>
      <c r="B3649" s="6">
        <f t="shared" si="711"/>
        <v>989.61481091467203</v>
      </c>
      <c r="C3649" s="6">
        <f t="shared" si="712"/>
        <v>0</v>
      </c>
      <c r="D3649" s="6">
        <f t="shared" si="713"/>
        <v>0</v>
      </c>
      <c r="E3649" s="6">
        <f t="shared" si="714"/>
        <v>0</v>
      </c>
      <c r="F3649" s="6">
        <f t="shared" si="715"/>
        <v>0</v>
      </c>
      <c r="G3649" s="6">
        <f t="shared" si="716"/>
        <v>0</v>
      </c>
      <c r="H3649" s="10"/>
    </row>
    <row r="3650" spans="1:8">
      <c r="A3650" s="11" t="s">
        <v>132</v>
      </c>
      <c r="B3650" s="6">
        <f t="shared" si="711"/>
        <v>805.91853913822763</v>
      </c>
      <c r="C3650" s="6">
        <f t="shared" si="712"/>
        <v>0</v>
      </c>
      <c r="D3650" s="6">
        <f t="shared" si="713"/>
        <v>0</v>
      </c>
      <c r="E3650" s="6">
        <f t="shared" si="714"/>
        <v>0</v>
      </c>
      <c r="F3650" s="6">
        <f t="shared" si="715"/>
        <v>0</v>
      </c>
      <c r="G3650" s="6">
        <f t="shared" si="716"/>
        <v>0</v>
      </c>
      <c r="H3650" s="10"/>
    </row>
    <row r="3651" spans="1:8">
      <c r="A3651" s="11" t="s">
        <v>133</v>
      </c>
      <c r="B3651" s="6">
        <f t="shared" si="711"/>
        <v>86.642783302307492</v>
      </c>
      <c r="C3651" s="6">
        <f t="shared" si="712"/>
        <v>0</v>
      </c>
      <c r="D3651" s="6">
        <f t="shared" si="713"/>
        <v>0</v>
      </c>
      <c r="E3651" s="6">
        <f t="shared" si="714"/>
        <v>0</v>
      </c>
      <c r="F3651" s="6">
        <f t="shared" si="715"/>
        <v>0</v>
      </c>
      <c r="G3651" s="6">
        <f t="shared" si="716"/>
        <v>0</v>
      </c>
      <c r="H3651" s="10"/>
    </row>
    <row r="3652" spans="1:8">
      <c r="A3652" s="11" t="s">
        <v>134</v>
      </c>
      <c r="B3652" s="6">
        <f t="shared" si="711"/>
        <v>0</v>
      </c>
      <c r="C3652" s="6">
        <f t="shared" si="712"/>
        <v>0</v>
      </c>
      <c r="D3652" s="6">
        <f t="shared" si="713"/>
        <v>0</v>
      </c>
      <c r="E3652" s="6">
        <f t="shared" si="714"/>
        <v>0</v>
      </c>
      <c r="F3652" s="6">
        <f t="shared" si="715"/>
        <v>0</v>
      </c>
      <c r="G3652" s="6">
        <f t="shared" si="716"/>
        <v>0</v>
      </c>
      <c r="H3652" s="10"/>
    </row>
    <row r="3653" spans="1:8">
      <c r="A3653" s="11" t="s">
        <v>135</v>
      </c>
      <c r="B3653" s="6">
        <f t="shared" si="711"/>
        <v>14566.139479737285</v>
      </c>
      <c r="C3653" s="6">
        <f t="shared" si="712"/>
        <v>5697.5095701220735</v>
      </c>
      <c r="D3653" s="6">
        <f t="shared" si="713"/>
        <v>168.44247220824005</v>
      </c>
      <c r="E3653" s="6">
        <f t="shared" si="714"/>
        <v>0</v>
      </c>
      <c r="F3653" s="6">
        <f t="shared" si="715"/>
        <v>0</v>
      </c>
      <c r="G3653" s="6">
        <f t="shared" si="716"/>
        <v>0</v>
      </c>
      <c r="H3653" s="10"/>
    </row>
    <row r="3654" spans="1:8">
      <c r="A3654" s="11" t="s">
        <v>1645</v>
      </c>
      <c r="B3654" s="6">
        <f t="shared" si="711"/>
        <v>0</v>
      </c>
      <c r="C3654" s="6">
        <f t="shared" si="712"/>
        <v>0</v>
      </c>
      <c r="D3654" s="6">
        <f t="shared" si="713"/>
        <v>0</v>
      </c>
      <c r="E3654" s="6">
        <f t="shared" si="714"/>
        <v>0</v>
      </c>
      <c r="F3654" s="6">
        <f t="shared" si="715"/>
        <v>0</v>
      </c>
      <c r="G3654" s="6">
        <f t="shared" si="716"/>
        <v>0</v>
      </c>
      <c r="H3654" s="10"/>
    </row>
    <row r="3655" spans="1:8">
      <c r="A3655" s="11" t="s">
        <v>100</v>
      </c>
      <c r="B3655" s="6">
        <f t="shared" si="711"/>
        <v>0</v>
      </c>
      <c r="C3655" s="6">
        <f t="shared" si="712"/>
        <v>0</v>
      </c>
      <c r="D3655" s="6">
        <f t="shared" si="713"/>
        <v>0</v>
      </c>
      <c r="E3655" s="6">
        <f t="shared" si="714"/>
        <v>0</v>
      </c>
      <c r="F3655" s="6">
        <f t="shared" si="715"/>
        <v>0</v>
      </c>
      <c r="G3655" s="6">
        <f t="shared" si="716"/>
        <v>0</v>
      </c>
      <c r="H3655" s="10"/>
    </row>
    <row r="3656" spans="1:8">
      <c r="A3656" s="11" t="s">
        <v>101</v>
      </c>
      <c r="B3656" s="6">
        <f t="shared" si="711"/>
        <v>0</v>
      </c>
      <c r="C3656" s="6">
        <f t="shared" si="712"/>
        <v>0</v>
      </c>
      <c r="D3656" s="6">
        <f t="shared" si="713"/>
        <v>0</v>
      </c>
      <c r="E3656" s="6">
        <f t="shared" si="714"/>
        <v>0</v>
      </c>
      <c r="F3656" s="6">
        <f t="shared" si="715"/>
        <v>0</v>
      </c>
      <c r="G3656" s="6">
        <f t="shared" si="716"/>
        <v>0</v>
      </c>
      <c r="H3656" s="10"/>
    </row>
    <row r="3657" spans="1:8">
      <c r="A3657" s="11" t="s">
        <v>102</v>
      </c>
      <c r="B3657" s="6">
        <f t="shared" si="711"/>
        <v>0</v>
      </c>
      <c r="C3657" s="6">
        <f t="shared" si="712"/>
        <v>0</v>
      </c>
      <c r="D3657" s="6">
        <f t="shared" si="713"/>
        <v>0</v>
      </c>
      <c r="E3657" s="6">
        <f t="shared" si="714"/>
        <v>0</v>
      </c>
      <c r="F3657" s="6">
        <f t="shared" si="715"/>
        <v>0</v>
      </c>
      <c r="G3657" s="6">
        <f t="shared" si="716"/>
        <v>0</v>
      </c>
      <c r="H3657" s="10"/>
    </row>
    <row r="3658" spans="1:8">
      <c r="A3658" s="11" t="s">
        <v>103</v>
      </c>
      <c r="B3658" s="6">
        <f t="shared" si="711"/>
        <v>0</v>
      </c>
      <c r="C3658" s="6">
        <f t="shared" si="712"/>
        <v>0</v>
      </c>
      <c r="D3658" s="6">
        <f t="shared" si="713"/>
        <v>0</v>
      </c>
      <c r="E3658" s="6">
        <f t="shared" si="714"/>
        <v>0</v>
      </c>
      <c r="F3658" s="6">
        <f t="shared" si="715"/>
        <v>0</v>
      </c>
      <c r="G3658" s="6">
        <f t="shared" si="716"/>
        <v>0</v>
      </c>
      <c r="H3658" s="10"/>
    </row>
    <row r="3659" spans="1:8">
      <c r="A3659" s="11" t="s">
        <v>104</v>
      </c>
      <c r="B3659" s="6">
        <f t="shared" si="711"/>
        <v>0</v>
      </c>
      <c r="C3659" s="6">
        <f t="shared" si="712"/>
        <v>0</v>
      </c>
      <c r="D3659" s="6">
        <f t="shared" si="713"/>
        <v>0</v>
      </c>
      <c r="E3659" s="6">
        <f t="shared" si="714"/>
        <v>0</v>
      </c>
      <c r="F3659" s="6">
        <f t="shared" si="715"/>
        <v>0</v>
      </c>
      <c r="G3659" s="6">
        <f t="shared" si="716"/>
        <v>0</v>
      </c>
      <c r="H3659" s="10"/>
    </row>
    <row r="3660" spans="1:8">
      <c r="A3660" s="11" t="s">
        <v>112</v>
      </c>
      <c r="B3660" s="6">
        <f t="shared" si="711"/>
        <v>0</v>
      </c>
      <c r="C3660" s="6">
        <f t="shared" si="712"/>
        <v>0</v>
      </c>
      <c r="D3660" s="6">
        <f t="shared" si="713"/>
        <v>0</v>
      </c>
      <c r="E3660" s="6">
        <f t="shared" si="714"/>
        <v>0</v>
      </c>
      <c r="F3660" s="6">
        <f t="shared" si="715"/>
        <v>0</v>
      </c>
      <c r="G3660" s="6">
        <f t="shared" si="716"/>
        <v>0</v>
      </c>
      <c r="H3660" s="10"/>
    </row>
    <row r="3661" spans="1:8">
      <c r="A3661" s="11" t="s">
        <v>113</v>
      </c>
      <c r="B3661" s="6">
        <f t="shared" si="711"/>
        <v>0</v>
      </c>
      <c r="C3661" s="6">
        <f t="shared" si="712"/>
        <v>0</v>
      </c>
      <c r="D3661" s="6">
        <f t="shared" si="713"/>
        <v>0</v>
      </c>
      <c r="E3661" s="6">
        <f t="shared" si="714"/>
        <v>0</v>
      </c>
      <c r="F3661" s="6">
        <f t="shared" si="715"/>
        <v>0</v>
      </c>
      <c r="G3661" s="6">
        <f t="shared" si="716"/>
        <v>0</v>
      </c>
      <c r="H3661" s="10"/>
    </row>
    <row r="3663" spans="1:8" ht="21" customHeight="1">
      <c r="A3663" s="1" t="s">
        <v>889</v>
      </c>
    </row>
    <row r="3664" spans="1:8">
      <c r="A3664" s="2" t="s">
        <v>255</v>
      </c>
    </row>
    <row r="3665" spans="1:3">
      <c r="A3665" s="12" t="s">
        <v>1596</v>
      </c>
    </row>
    <row r="3666" spans="1:3">
      <c r="A3666" s="12" t="s">
        <v>890</v>
      </c>
    </row>
    <row r="3667" spans="1:3">
      <c r="A3667" s="12" t="s">
        <v>891</v>
      </c>
    </row>
    <row r="3668" spans="1:3">
      <c r="A3668" s="12" t="s">
        <v>892</v>
      </c>
    </row>
    <row r="3669" spans="1:3">
      <c r="A3669" s="12" t="s">
        <v>893</v>
      </c>
    </row>
    <row r="3670" spans="1:3">
      <c r="A3670" s="12" t="s">
        <v>894</v>
      </c>
    </row>
    <row r="3671" spans="1:3">
      <c r="A3671" s="12" t="s">
        <v>895</v>
      </c>
    </row>
    <row r="3672" spans="1:3">
      <c r="A3672" s="2" t="s">
        <v>896</v>
      </c>
    </row>
    <row r="3674" spans="1:3">
      <c r="B3674" s="3" t="s">
        <v>897</v>
      </c>
    </row>
    <row r="3675" spans="1:3">
      <c r="A3675" s="11" t="s">
        <v>897</v>
      </c>
      <c r="B3675" s="6">
        <f>C3506/SUM($B$3635:$B$3661,$C$3635:$C$3661,$D$3635:$D$3661,$E$3635:$E$3661,$F$3635:$F$3661,$G$3635:$G$3661)</f>
        <v>56.572235521236429</v>
      </c>
      <c r="C3675" s="10"/>
    </row>
    <row r="3677" spans="1:3" ht="21" customHeight="1">
      <c r="A3677" s="1" t="s">
        <v>898</v>
      </c>
    </row>
    <row r="3678" spans="1:3">
      <c r="A3678" s="2" t="s">
        <v>255</v>
      </c>
    </row>
    <row r="3679" spans="1:3">
      <c r="A3679" s="12" t="s">
        <v>899</v>
      </c>
    </row>
    <row r="3680" spans="1:3">
      <c r="A3680" s="12" t="s">
        <v>900</v>
      </c>
    </row>
    <row r="3681" spans="1:3">
      <c r="A3681" s="12" t="s">
        <v>901</v>
      </c>
    </row>
    <row r="3682" spans="1:3">
      <c r="A3682" s="12" t="s">
        <v>902</v>
      </c>
    </row>
    <row r="3683" spans="1:3">
      <c r="A3683" s="12" t="s">
        <v>903</v>
      </c>
    </row>
    <row r="3684" spans="1:3">
      <c r="A3684" s="12" t="s">
        <v>904</v>
      </c>
    </row>
    <row r="3685" spans="1:3">
      <c r="A3685" s="12" t="s">
        <v>905</v>
      </c>
    </row>
    <row r="3686" spans="1:3">
      <c r="A3686" s="2" t="s">
        <v>906</v>
      </c>
    </row>
    <row r="3688" spans="1:3">
      <c r="B3688" s="3" t="s">
        <v>907</v>
      </c>
    </row>
    <row r="3689" spans="1:3">
      <c r="A3689" s="11" t="s">
        <v>907</v>
      </c>
      <c r="B3689" s="6">
        <f>MIN(B3675,$B$3587:$B$3613,$C$3587:$C$3613,$D$3587:$D$3613,$E$3587:$E$3613,$F$3587:$F$3613,$G$3587:$G$3613)</f>
        <v>-5872.6400863349299</v>
      </c>
      <c r="C3689" s="10"/>
    </row>
    <row r="3691" spans="1:3" ht="21" customHeight="1">
      <c r="A3691" s="1" t="s">
        <v>908</v>
      </c>
    </row>
    <row r="3692" spans="1:3">
      <c r="A3692" s="2" t="s">
        <v>255</v>
      </c>
    </row>
    <row r="3693" spans="1:3">
      <c r="A3693" s="12" t="s">
        <v>909</v>
      </c>
    </row>
    <row r="3694" spans="1:3">
      <c r="A3694" s="12" t="s">
        <v>900</v>
      </c>
    </row>
    <row r="3695" spans="1:3">
      <c r="A3695" s="12" t="s">
        <v>901</v>
      </c>
    </row>
    <row r="3696" spans="1:3">
      <c r="A3696" s="12" t="s">
        <v>902</v>
      </c>
    </row>
    <row r="3697" spans="1:1">
      <c r="A3697" s="12" t="s">
        <v>903</v>
      </c>
    </row>
    <row r="3698" spans="1:1">
      <c r="A3698" s="12" t="s">
        <v>904</v>
      </c>
    </row>
    <row r="3699" spans="1:1">
      <c r="A3699" s="12" t="s">
        <v>905</v>
      </c>
    </row>
    <row r="3700" spans="1:1">
      <c r="A3700" s="12" t="s">
        <v>910</v>
      </c>
    </row>
    <row r="3701" spans="1:1">
      <c r="A3701" s="12" t="s">
        <v>911</v>
      </c>
    </row>
    <row r="3702" spans="1:1">
      <c r="A3702" s="12" t="s">
        <v>912</v>
      </c>
    </row>
    <row r="3703" spans="1:1">
      <c r="A3703" s="12" t="s">
        <v>913</v>
      </c>
    </row>
    <row r="3704" spans="1:1">
      <c r="A3704" s="12" t="s">
        <v>914</v>
      </c>
    </row>
    <row r="3705" spans="1:1">
      <c r="A3705" s="12" t="s">
        <v>915</v>
      </c>
    </row>
    <row r="3706" spans="1:1">
      <c r="A3706" s="12" t="s">
        <v>916</v>
      </c>
    </row>
    <row r="3707" spans="1:1">
      <c r="A3707" s="12" t="s">
        <v>917</v>
      </c>
    </row>
    <row r="3708" spans="1:1">
      <c r="A3708" s="12" t="s">
        <v>918</v>
      </c>
    </row>
    <row r="3709" spans="1:1">
      <c r="A3709" s="12" t="s">
        <v>919</v>
      </c>
    </row>
    <row r="3710" spans="1:1">
      <c r="A3710" s="12" t="s">
        <v>920</v>
      </c>
    </row>
    <row r="3711" spans="1:1">
      <c r="A3711" s="12" t="s">
        <v>921</v>
      </c>
    </row>
    <row r="3712" spans="1:1">
      <c r="A3712" s="12" t="s">
        <v>922</v>
      </c>
    </row>
    <row r="3713" spans="1:15">
      <c r="A3713" s="12" t="s">
        <v>923</v>
      </c>
    </row>
    <row r="3714" spans="1:15">
      <c r="A3714" s="12" t="s">
        <v>924</v>
      </c>
    </row>
    <row r="3715" spans="1:15">
      <c r="A3715" s="12" t="s">
        <v>925</v>
      </c>
    </row>
    <row r="3716" spans="1:15">
      <c r="A3716" s="12" t="s">
        <v>926</v>
      </c>
    </row>
    <row r="3717" spans="1:15">
      <c r="A3717" s="12" t="s">
        <v>1595</v>
      </c>
    </row>
    <row r="3718" spans="1:15">
      <c r="A3718" s="12" t="s">
        <v>927</v>
      </c>
    </row>
    <row r="3719" spans="1:15">
      <c r="A3719" s="12" t="s">
        <v>928</v>
      </c>
    </row>
    <row r="3720" spans="1:15">
      <c r="A3720" s="21" t="s">
        <v>258</v>
      </c>
      <c r="B3720" s="21" t="s">
        <v>323</v>
      </c>
      <c r="C3720" s="21" t="s">
        <v>323</v>
      </c>
      <c r="D3720" s="21" t="s">
        <v>323</v>
      </c>
      <c r="E3720" s="21" t="s">
        <v>323</v>
      </c>
      <c r="F3720" s="21" t="s">
        <v>323</v>
      </c>
      <c r="G3720" s="21" t="s">
        <v>259</v>
      </c>
      <c r="H3720" s="21" t="s">
        <v>385</v>
      </c>
      <c r="I3720" s="21" t="s">
        <v>323</v>
      </c>
      <c r="J3720" s="21" t="s">
        <v>323</v>
      </c>
      <c r="K3720" s="21" t="s">
        <v>323</v>
      </c>
      <c r="L3720" s="21" t="s">
        <v>323</v>
      </c>
      <c r="M3720" s="21" t="s">
        <v>323</v>
      </c>
      <c r="N3720" s="21" t="s">
        <v>323</v>
      </c>
    </row>
    <row r="3721" spans="1:15">
      <c r="A3721" s="21" t="s">
        <v>261</v>
      </c>
      <c r="B3721" s="21" t="s">
        <v>323</v>
      </c>
      <c r="C3721" s="21" t="s">
        <v>323</v>
      </c>
      <c r="D3721" s="21" t="s">
        <v>323</v>
      </c>
      <c r="E3721" s="21" t="s">
        <v>323</v>
      </c>
      <c r="F3721" s="21" t="s">
        <v>323</v>
      </c>
      <c r="G3721" s="21" t="s">
        <v>262</v>
      </c>
      <c r="H3721" s="21" t="s">
        <v>1664</v>
      </c>
      <c r="I3721" s="21" t="s">
        <v>323</v>
      </c>
      <c r="J3721" s="21" t="s">
        <v>323</v>
      </c>
      <c r="K3721" s="21" t="s">
        <v>323</v>
      </c>
      <c r="L3721" s="21" t="s">
        <v>323</v>
      </c>
      <c r="M3721" s="21" t="s">
        <v>323</v>
      </c>
      <c r="N3721" s="21" t="s">
        <v>323</v>
      </c>
    </row>
    <row r="3723" spans="1:15">
      <c r="B3723" s="3" t="s">
        <v>929</v>
      </c>
      <c r="C3723" s="3" t="s">
        <v>930</v>
      </c>
      <c r="D3723" s="3" t="s">
        <v>931</v>
      </c>
      <c r="E3723" s="3" t="s">
        <v>932</v>
      </c>
      <c r="F3723" s="3" t="s">
        <v>933</v>
      </c>
      <c r="G3723" s="3" t="s">
        <v>934</v>
      </c>
      <c r="H3723" s="3" t="s">
        <v>935</v>
      </c>
      <c r="I3723" s="3" t="s">
        <v>936</v>
      </c>
      <c r="J3723" s="3" t="s">
        <v>937</v>
      </c>
      <c r="K3723" s="3" t="s">
        <v>938</v>
      </c>
      <c r="L3723" s="3" t="s">
        <v>939</v>
      </c>
      <c r="M3723" s="3" t="s">
        <v>6</v>
      </c>
      <c r="N3723" s="3" t="s">
        <v>940</v>
      </c>
    </row>
    <row r="3724" spans="1:15">
      <c r="A3724" s="11" t="s">
        <v>907</v>
      </c>
      <c r="B3724" s="6">
        <f>B3689</f>
        <v>-5872.6400863349299</v>
      </c>
      <c r="C3724" s="9"/>
      <c r="D3724" s="9"/>
      <c r="E3724" s="9"/>
      <c r="F3724" s="9"/>
      <c r="G3724" s="23">
        <v>0</v>
      </c>
      <c r="H3724" s="15">
        <f t="shared" ref="H3724:H3755" si="717">F3724*162+G3724</f>
        <v>0</v>
      </c>
      <c r="I3724" s="9"/>
      <c r="J3724" s="9"/>
      <c r="K3724" s="6">
        <f>B3724</f>
        <v>-5872.6400863349299</v>
      </c>
      <c r="L3724" s="6">
        <f>SUM(D$3724:D$3885)</f>
        <v>0</v>
      </c>
      <c r="M3724" s="6">
        <f>SUM($E$3724:$E$3885)-$C$3506</f>
        <v>-204835338.27239084</v>
      </c>
      <c r="N3724" s="6">
        <f>IF(M$3724&gt;0,K3724,IF(M$3886&gt;0,"",$B$3675))</f>
        <v>56.572235521236429</v>
      </c>
      <c r="O3724" s="10"/>
    </row>
    <row r="3725" spans="1:15">
      <c r="A3725" s="11" t="s">
        <v>941</v>
      </c>
      <c r="B3725" s="6">
        <f t="shared" ref="B3725:B3751" si="718">B3587</f>
        <v>-71.54678726911402</v>
      </c>
      <c r="C3725" s="6">
        <f t="shared" ref="C3725:C3751" si="719">B3635</f>
        <v>781973.44148305955</v>
      </c>
      <c r="D3725" s="6">
        <f t="shared" ref="D3725:D3756" si="720">IF(ISERROR(B3725),C3725,0)</f>
        <v>0</v>
      </c>
      <c r="E3725" s="6">
        <f t="shared" ref="E3725:E3756" si="721">MAX($B$3689,B3725)*C3725</f>
        <v>-55947687.467885442</v>
      </c>
      <c r="F3725" s="15">
        <f t="shared" ref="F3725:F3756" si="722">RANK(B3725,B$3725:B$3886,1)</f>
        <v>28</v>
      </c>
      <c r="G3725" s="23">
        <v>1</v>
      </c>
      <c r="H3725" s="15">
        <f t="shared" si="717"/>
        <v>4537</v>
      </c>
      <c r="I3725" s="15">
        <f t="shared" ref="I3725:I3756" si="723">RANK(H3725,H$3725:H$3886,1)</f>
        <v>28</v>
      </c>
      <c r="J3725" s="15">
        <f t="shared" ref="J3725:J3756" si="724">MATCH(G3725,I$3725:I$3886,0)</f>
        <v>73</v>
      </c>
      <c r="K3725" s="6">
        <f t="shared" ref="K3725:K3756" si="725">INDEX(B$3725:B$3886,J3725,1)</f>
        <v>-5872.6400863349299</v>
      </c>
      <c r="L3725" s="6">
        <f t="shared" ref="L3725:L3756" si="726">L3724+INDEX(C$3725:C$3886,J3725,1)</f>
        <v>168.44247220824005</v>
      </c>
      <c r="M3725" s="6">
        <f t="shared" ref="M3725:M3756" si="727">M3724+(K3725-K3724)*L3724</f>
        <v>-204835338.27239084</v>
      </c>
      <c r="N3725" s="6" t="str">
        <f t="shared" ref="N3725:N3756" si="728">IF((M3724&gt;0)=(M3725&gt;0),"",K3725-M3725/L3724)</f>
        <v/>
      </c>
      <c r="O3725" s="10"/>
    </row>
    <row r="3726" spans="1:15">
      <c r="A3726" s="11" t="s">
        <v>942</v>
      </c>
      <c r="B3726" s="6">
        <f t="shared" si="718"/>
        <v>-69.18034037952404</v>
      </c>
      <c r="C3726" s="6">
        <f t="shared" si="719"/>
        <v>46557.800043696901</v>
      </c>
      <c r="D3726" s="6">
        <f t="shared" si="720"/>
        <v>0</v>
      </c>
      <c r="E3726" s="6">
        <f t="shared" si="721"/>
        <v>-3220884.4543447709</v>
      </c>
      <c r="F3726" s="15">
        <f t="shared" si="722"/>
        <v>33</v>
      </c>
      <c r="G3726" s="23">
        <v>2</v>
      </c>
      <c r="H3726" s="15">
        <f t="shared" si="717"/>
        <v>5348</v>
      </c>
      <c r="I3726" s="15">
        <f t="shared" si="723"/>
        <v>33</v>
      </c>
      <c r="J3726" s="15">
        <f t="shared" si="724"/>
        <v>64</v>
      </c>
      <c r="K3726" s="6">
        <f t="shared" si="725"/>
        <v>-688.37372615740571</v>
      </c>
      <c r="L3726" s="6">
        <f t="shared" si="726"/>
        <v>168.44247220824005</v>
      </c>
      <c r="M3726" s="6">
        <f t="shared" si="727"/>
        <v>-203962087.63009652</v>
      </c>
      <c r="N3726" s="6" t="str">
        <f t="shared" si="728"/>
        <v/>
      </c>
      <c r="O3726" s="10"/>
    </row>
    <row r="3727" spans="1:15">
      <c r="A3727" s="11" t="s">
        <v>943</v>
      </c>
      <c r="B3727" s="6">
        <f t="shared" si="718"/>
        <v>-108.48612831364903</v>
      </c>
      <c r="C3727" s="6">
        <f t="shared" si="719"/>
        <v>69.016522106620442</v>
      </c>
      <c r="D3727" s="6">
        <f t="shared" si="720"/>
        <v>0</v>
      </c>
      <c r="E3727" s="6">
        <f t="shared" si="721"/>
        <v>-7487.3352730206207</v>
      </c>
      <c r="F3727" s="15">
        <f t="shared" si="722"/>
        <v>21</v>
      </c>
      <c r="G3727" s="23">
        <v>3</v>
      </c>
      <c r="H3727" s="15">
        <f t="shared" si="717"/>
        <v>3405</v>
      </c>
      <c r="I3727" s="15">
        <f t="shared" si="723"/>
        <v>21</v>
      </c>
      <c r="J3727" s="15">
        <f t="shared" si="724"/>
        <v>65</v>
      </c>
      <c r="K3727" s="6">
        <f t="shared" si="725"/>
        <v>-686.73198863211985</v>
      </c>
      <c r="L3727" s="6">
        <f t="shared" si="726"/>
        <v>168.44247220824005</v>
      </c>
      <c r="M3727" s="6">
        <f t="shared" si="727"/>
        <v>-203961811.09176904</v>
      </c>
      <c r="N3727" s="6" t="str">
        <f t="shared" si="728"/>
        <v/>
      </c>
      <c r="O3727" s="10"/>
    </row>
    <row r="3728" spans="1:15">
      <c r="A3728" s="11" t="s">
        <v>944</v>
      </c>
      <c r="B3728" s="6">
        <f t="shared" si="718"/>
        <v>-71.546787269114034</v>
      </c>
      <c r="C3728" s="6">
        <f t="shared" si="719"/>
        <v>156052.48197006597</v>
      </c>
      <c r="D3728" s="6">
        <f t="shared" si="720"/>
        <v>0</v>
      </c>
      <c r="E3728" s="6">
        <f t="shared" si="721"/>
        <v>-11165053.730329564</v>
      </c>
      <c r="F3728" s="15">
        <f t="shared" si="722"/>
        <v>27</v>
      </c>
      <c r="G3728" s="23">
        <v>4</v>
      </c>
      <c r="H3728" s="15">
        <f t="shared" si="717"/>
        <v>4378</v>
      </c>
      <c r="I3728" s="15">
        <f t="shared" si="723"/>
        <v>27</v>
      </c>
      <c r="J3728" s="15">
        <f t="shared" si="724"/>
        <v>77</v>
      </c>
      <c r="K3728" s="6">
        <f t="shared" si="725"/>
        <v>-672.96377354630999</v>
      </c>
      <c r="L3728" s="6">
        <f t="shared" si="726"/>
        <v>168.44247220824005</v>
      </c>
      <c r="M3728" s="6">
        <f t="shared" si="727"/>
        <v>-203959491.93958208</v>
      </c>
      <c r="N3728" s="6" t="str">
        <f t="shared" si="728"/>
        <v/>
      </c>
      <c r="O3728" s="10"/>
    </row>
    <row r="3729" spans="1:15">
      <c r="A3729" s="11" t="s">
        <v>945</v>
      </c>
      <c r="B3729" s="6">
        <f t="shared" si="718"/>
        <v>-69.008422420827173</v>
      </c>
      <c r="C3729" s="6">
        <f t="shared" si="719"/>
        <v>51543.559715385883</v>
      </c>
      <c r="D3729" s="6">
        <f t="shared" si="720"/>
        <v>0</v>
      </c>
      <c r="E3729" s="6">
        <f t="shared" si="721"/>
        <v>-3556939.7419124795</v>
      </c>
      <c r="F3729" s="15">
        <f t="shared" si="722"/>
        <v>34</v>
      </c>
      <c r="G3729" s="23">
        <v>5</v>
      </c>
      <c r="H3729" s="15">
        <f t="shared" si="717"/>
        <v>5513</v>
      </c>
      <c r="I3729" s="15">
        <f t="shared" si="723"/>
        <v>34</v>
      </c>
      <c r="J3729" s="15">
        <f t="shared" si="724"/>
        <v>79</v>
      </c>
      <c r="K3729" s="6">
        <f t="shared" si="725"/>
        <v>-632.26735865812554</v>
      </c>
      <c r="L3729" s="6">
        <f t="shared" si="726"/>
        <v>168.44247220824005</v>
      </c>
      <c r="M3729" s="6">
        <f t="shared" si="727"/>
        <v>-203952636.93484831</v>
      </c>
      <c r="N3729" s="6" t="str">
        <f t="shared" si="728"/>
        <v/>
      </c>
      <c r="O3729" s="10"/>
    </row>
    <row r="3730" spans="1:15">
      <c r="A3730" s="11" t="s">
        <v>946</v>
      </c>
      <c r="B3730" s="6">
        <f t="shared" si="718"/>
        <v>-106.06546263498014</v>
      </c>
      <c r="C3730" s="6">
        <f t="shared" si="719"/>
        <v>45.399682985920649</v>
      </c>
      <c r="D3730" s="6">
        <f t="shared" si="720"/>
        <v>0</v>
      </c>
      <c r="E3730" s="6">
        <f t="shared" si="721"/>
        <v>-4815.3383793831099</v>
      </c>
      <c r="F3730" s="15">
        <f t="shared" si="722"/>
        <v>22</v>
      </c>
      <c r="G3730" s="23">
        <v>6</v>
      </c>
      <c r="H3730" s="15">
        <f t="shared" si="717"/>
        <v>3570</v>
      </c>
      <c r="I3730" s="15">
        <f t="shared" si="723"/>
        <v>22</v>
      </c>
      <c r="J3730" s="15">
        <f t="shared" si="724"/>
        <v>66</v>
      </c>
      <c r="K3730" s="6">
        <f t="shared" si="725"/>
        <v>-603.8758893762863</v>
      </c>
      <c r="L3730" s="6">
        <f t="shared" si="726"/>
        <v>1086.1509646909303</v>
      </c>
      <c r="M3730" s="6">
        <f t="shared" si="727"/>
        <v>-203947854.60557285</v>
      </c>
      <c r="N3730" s="6" t="str">
        <f t="shared" si="728"/>
        <v/>
      </c>
      <c r="O3730" s="10"/>
    </row>
    <row r="3731" spans="1:15">
      <c r="A3731" s="11" t="s">
        <v>947</v>
      </c>
      <c r="B3731" s="6">
        <f t="shared" si="718"/>
        <v>-68.936711297361612</v>
      </c>
      <c r="C3731" s="6">
        <f t="shared" si="719"/>
        <v>88300.092510295421</v>
      </c>
      <c r="D3731" s="6">
        <f t="shared" si="720"/>
        <v>0</v>
      </c>
      <c r="E3731" s="6">
        <f t="shared" si="721"/>
        <v>-6087117.9849125575</v>
      </c>
      <c r="F3731" s="15">
        <f t="shared" si="722"/>
        <v>35</v>
      </c>
      <c r="G3731" s="23">
        <v>7</v>
      </c>
      <c r="H3731" s="15">
        <f t="shared" si="717"/>
        <v>5677</v>
      </c>
      <c r="I3731" s="15">
        <f t="shared" si="723"/>
        <v>35</v>
      </c>
      <c r="J3731" s="15">
        <f t="shared" si="724"/>
        <v>35</v>
      </c>
      <c r="K3731" s="6">
        <f t="shared" si="725"/>
        <v>-532.01718863838039</v>
      </c>
      <c r="L3731" s="6">
        <f t="shared" si="726"/>
        <v>1086.5002154317247</v>
      </c>
      <c r="M3731" s="6">
        <f t="shared" si="727"/>
        <v>-203869805.20844492</v>
      </c>
      <c r="N3731" s="6" t="str">
        <f t="shared" si="728"/>
        <v/>
      </c>
      <c r="O3731" s="10"/>
    </row>
    <row r="3732" spans="1:15">
      <c r="A3732" s="11" t="s">
        <v>948</v>
      </c>
      <c r="B3732" s="6">
        <f t="shared" si="718"/>
        <v>-64.384273724100439</v>
      </c>
      <c r="C3732" s="6">
        <f t="shared" si="719"/>
        <v>119.26736786753713</v>
      </c>
      <c r="D3732" s="6">
        <f t="shared" si="720"/>
        <v>0</v>
      </c>
      <c r="E3732" s="6">
        <f t="shared" si="721"/>
        <v>-7678.9428591364922</v>
      </c>
      <c r="F3732" s="15">
        <f t="shared" si="722"/>
        <v>44</v>
      </c>
      <c r="G3732" s="23">
        <v>8</v>
      </c>
      <c r="H3732" s="15">
        <f t="shared" si="717"/>
        <v>7136</v>
      </c>
      <c r="I3732" s="15">
        <f t="shared" si="723"/>
        <v>44</v>
      </c>
      <c r="J3732" s="15">
        <f t="shared" si="724"/>
        <v>34</v>
      </c>
      <c r="K3732" s="6">
        <f t="shared" si="725"/>
        <v>-518.75751076322319</v>
      </c>
      <c r="L3732" s="6">
        <f t="shared" si="726"/>
        <v>1367.2406163935852</v>
      </c>
      <c r="M3732" s="6">
        <f t="shared" si="727"/>
        <v>-203855398.565577</v>
      </c>
      <c r="N3732" s="6" t="str">
        <f t="shared" si="728"/>
        <v/>
      </c>
      <c r="O3732" s="10"/>
    </row>
    <row r="3733" spans="1:15">
      <c r="A3733" s="11" t="s">
        <v>949</v>
      </c>
      <c r="B3733" s="6">
        <f t="shared" si="718"/>
        <v>-39.007267846342323</v>
      </c>
      <c r="C3733" s="6">
        <f t="shared" si="719"/>
        <v>161.47372613474818</v>
      </c>
      <c r="D3733" s="6">
        <f t="shared" si="720"/>
        <v>0</v>
      </c>
      <c r="E3733" s="6">
        <f t="shared" si="721"/>
        <v>-6298.6488854850486</v>
      </c>
      <c r="F3733" s="15">
        <f t="shared" si="722"/>
        <v>58</v>
      </c>
      <c r="G3733" s="23">
        <v>9</v>
      </c>
      <c r="H3733" s="15">
        <f t="shared" si="717"/>
        <v>9405</v>
      </c>
      <c r="I3733" s="15">
        <f t="shared" si="723"/>
        <v>58</v>
      </c>
      <c r="J3733" s="15">
        <f t="shared" si="724"/>
        <v>67</v>
      </c>
      <c r="K3733" s="6">
        <f t="shared" si="725"/>
        <v>-490.31001224892947</v>
      </c>
      <c r="L3733" s="6">
        <f t="shared" si="726"/>
        <v>1378.1080944863995</v>
      </c>
      <c r="M3733" s="6">
        <f t="shared" si="727"/>
        <v>-203816503.99017346</v>
      </c>
      <c r="N3733" s="6" t="str">
        <f t="shared" si="728"/>
        <v/>
      </c>
      <c r="O3733" s="10"/>
    </row>
    <row r="3734" spans="1:15">
      <c r="A3734" s="11" t="s">
        <v>950</v>
      </c>
      <c r="B3734" s="6">
        <f t="shared" si="718"/>
        <v>-69.756484894630901</v>
      </c>
      <c r="C3734" s="6">
        <f t="shared" si="719"/>
        <v>0</v>
      </c>
      <c r="D3734" s="6">
        <f t="shared" si="720"/>
        <v>0</v>
      </c>
      <c r="E3734" s="6">
        <f t="shared" si="721"/>
        <v>0</v>
      </c>
      <c r="F3734" s="15">
        <f t="shared" si="722"/>
        <v>31</v>
      </c>
      <c r="G3734" s="23">
        <v>10</v>
      </c>
      <c r="H3734" s="15">
        <f t="shared" si="717"/>
        <v>5032</v>
      </c>
      <c r="I3734" s="15">
        <f t="shared" si="723"/>
        <v>31</v>
      </c>
      <c r="J3734" s="15">
        <f t="shared" si="724"/>
        <v>81</v>
      </c>
      <c r="K3734" s="6">
        <f t="shared" si="725"/>
        <v>-458.70376544667505</v>
      </c>
      <c r="L3734" s="6">
        <f t="shared" si="726"/>
        <v>1378.1080944863995</v>
      </c>
      <c r="M3734" s="6">
        <f t="shared" si="727"/>
        <v>-203772947.16561893</v>
      </c>
      <c r="N3734" s="6" t="str">
        <f t="shared" si="728"/>
        <v/>
      </c>
      <c r="O3734" s="10"/>
    </row>
    <row r="3735" spans="1:15">
      <c r="A3735" s="11" t="s">
        <v>951</v>
      </c>
      <c r="B3735" s="6">
        <f t="shared" si="718"/>
        <v>-69.502747173612875</v>
      </c>
      <c r="C3735" s="6">
        <f t="shared" si="719"/>
        <v>0</v>
      </c>
      <c r="D3735" s="6">
        <f t="shared" si="720"/>
        <v>0</v>
      </c>
      <c r="E3735" s="6">
        <f t="shared" si="721"/>
        <v>0</v>
      </c>
      <c r="F3735" s="15">
        <f t="shared" si="722"/>
        <v>32</v>
      </c>
      <c r="G3735" s="23">
        <v>11</v>
      </c>
      <c r="H3735" s="15">
        <f t="shared" si="717"/>
        <v>5195</v>
      </c>
      <c r="I3735" s="15">
        <f t="shared" si="723"/>
        <v>32</v>
      </c>
      <c r="J3735" s="15">
        <f t="shared" si="724"/>
        <v>68</v>
      </c>
      <c r="K3735" s="6">
        <f t="shared" si="725"/>
        <v>-394.32549326655555</v>
      </c>
      <c r="L3735" s="6">
        <f t="shared" si="726"/>
        <v>2971.7215911073981</v>
      </c>
      <c r="M3735" s="6">
        <f t="shared" si="727"/>
        <v>-203684226.94761845</v>
      </c>
      <c r="N3735" s="6" t="str">
        <f t="shared" si="728"/>
        <v/>
      </c>
      <c r="O3735" s="10"/>
    </row>
    <row r="3736" spans="1:15">
      <c r="A3736" s="11" t="s">
        <v>952</v>
      </c>
      <c r="B3736" s="6">
        <f t="shared" si="718"/>
        <v>-61.098722050372182</v>
      </c>
      <c r="C3736" s="6">
        <f t="shared" si="719"/>
        <v>128553.94141231207</v>
      </c>
      <c r="D3736" s="6">
        <f t="shared" si="720"/>
        <v>0</v>
      </c>
      <c r="E3736" s="6">
        <f t="shared" si="721"/>
        <v>-7854481.5348306848</v>
      </c>
      <c r="F3736" s="15">
        <f t="shared" si="722"/>
        <v>48</v>
      </c>
      <c r="G3736" s="23">
        <v>12</v>
      </c>
      <c r="H3736" s="15">
        <f t="shared" si="717"/>
        <v>7788</v>
      </c>
      <c r="I3736" s="15">
        <f t="shared" si="723"/>
        <v>48</v>
      </c>
      <c r="J3736" s="15">
        <f t="shared" si="724"/>
        <v>36</v>
      </c>
      <c r="K3736" s="6">
        <f t="shared" si="725"/>
        <v>-315.77945343150122</v>
      </c>
      <c r="L3736" s="6">
        <f t="shared" si="726"/>
        <v>2972.11914146237</v>
      </c>
      <c r="M3736" s="6">
        <f t="shared" si="727"/>
        <v>-203450809.98514464</v>
      </c>
      <c r="N3736" s="6" t="str">
        <f t="shared" si="728"/>
        <v/>
      </c>
      <c r="O3736" s="10"/>
    </row>
    <row r="3737" spans="1:15">
      <c r="A3737" s="11" t="s">
        <v>953</v>
      </c>
      <c r="B3737" s="6">
        <f t="shared" si="718"/>
        <v>-49.242429461101686</v>
      </c>
      <c r="C3737" s="6">
        <f t="shared" si="719"/>
        <v>1694.4182807290731</v>
      </c>
      <c r="D3737" s="6">
        <f t="shared" si="720"/>
        <v>0</v>
      </c>
      <c r="E3737" s="6">
        <f t="shared" si="721"/>
        <v>-83437.272666402583</v>
      </c>
      <c r="F3737" s="15">
        <f t="shared" si="722"/>
        <v>51</v>
      </c>
      <c r="G3737" s="23">
        <v>13</v>
      </c>
      <c r="H3737" s="15">
        <f t="shared" si="717"/>
        <v>8275</v>
      </c>
      <c r="I3737" s="15">
        <f t="shared" si="723"/>
        <v>51</v>
      </c>
      <c r="J3737" s="15">
        <f t="shared" si="724"/>
        <v>29</v>
      </c>
      <c r="K3737" s="6">
        <f t="shared" si="725"/>
        <v>-245.64050584678085</v>
      </c>
      <c r="L3737" s="6">
        <f t="shared" si="726"/>
        <v>4251.4155068062246</v>
      </c>
      <c r="M3737" s="6">
        <f t="shared" si="727"/>
        <v>-203242348.67646608</v>
      </c>
      <c r="N3737" s="6" t="str">
        <f t="shared" si="728"/>
        <v/>
      </c>
      <c r="O3737" s="10"/>
    </row>
    <row r="3738" spans="1:15">
      <c r="A3738" s="11" t="s">
        <v>954</v>
      </c>
      <c r="B3738" s="6">
        <f t="shared" si="718"/>
        <v>-40.06615045894565</v>
      </c>
      <c r="C3738" s="6">
        <f t="shared" si="719"/>
        <v>184610.88452106775</v>
      </c>
      <c r="D3738" s="6">
        <f t="shared" si="720"/>
        <v>0</v>
      </c>
      <c r="E3738" s="6">
        <f t="shared" si="721"/>
        <v>-7396647.4755801409</v>
      </c>
      <c r="F3738" s="15">
        <f t="shared" si="722"/>
        <v>57</v>
      </c>
      <c r="G3738" s="23">
        <v>14</v>
      </c>
      <c r="H3738" s="15">
        <f t="shared" si="717"/>
        <v>9248</v>
      </c>
      <c r="I3738" s="15">
        <f t="shared" si="723"/>
        <v>57</v>
      </c>
      <c r="J3738" s="15">
        <f t="shared" si="724"/>
        <v>32</v>
      </c>
      <c r="K3738" s="6">
        <f t="shared" si="725"/>
        <v>-184.93676044911595</v>
      </c>
      <c r="L3738" s="6">
        <f t="shared" si="726"/>
        <v>5286.0947437914674</v>
      </c>
      <c r="M3738" s="6">
        <f t="shared" si="727"/>
        <v>-202984271.83196121</v>
      </c>
      <c r="N3738" s="6" t="str">
        <f t="shared" si="728"/>
        <v/>
      </c>
      <c r="O3738" s="10"/>
    </row>
    <row r="3739" spans="1:15">
      <c r="A3739" s="11" t="s">
        <v>955</v>
      </c>
      <c r="B3739" s="6">
        <f t="shared" si="718"/>
        <v>-146.7659651119163</v>
      </c>
      <c r="C3739" s="6">
        <f t="shared" si="719"/>
        <v>989.61481091467203</v>
      </c>
      <c r="D3739" s="6">
        <f t="shared" si="720"/>
        <v>0</v>
      </c>
      <c r="E3739" s="6">
        <f t="shared" si="721"/>
        <v>-145241.7728129384</v>
      </c>
      <c r="F3739" s="15">
        <f t="shared" si="722"/>
        <v>16</v>
      </c>
      <c r="G3739" s="23">
        <v>15</v>
      </c>
      <c r="H3739" s="15">
        <f t="shared" si="717"/>
        <v>2607</v>
      </c>
      <c r="I3739" s="15">
        <f t="shared" si="723"/>
        <v>16</v>
      </c>
      <c r="J3739" s="15">
        <f t="shared" si="724"/>
        <v>16</v>
      </c>
      <c r="K3739" s="6">
        <f t="shared" si="725"/>
        <v>-165.94306515738631</v>
      </c>
      <c r="L3739" s="6">
        <f t="shared" si="726"/>
        <v>6092.0132829296954</v>
      </c>
      <c r="M3739" s="6">
        <f t="shared" si="727"/>
        <v>-202883869.35911444</v>
      </c>
      <c r="N3739" s="6" t="str">
        <f t="shared" si="728"/>
        <v/>
      </c>
      <c r="O3739" s="10"/>
    </row>
    <row r="3740" spans="1:15">
      <c r="A3740" s="11" t="s">
        <v>956</v>
      </c>
      <c r="B3740" s="6">
        <f t="shared" si="718"/>
        <v>-165.94306515738631</v>
      </c>
      <c r="C3740" s="6">
        <f t="shared" si="719"/>
        <v>805.91853913822763</v>
      </c>
      <c r="D3740" s="6">
        <f t="shared" si="720"/>
        <v>0</v>
      </c>
      <c r="E3740" s="6">
        <f t="shared" si="721"/>
        <v>-133736.5926517605</v>
      </c>
      <c r="F3740" s="15">
        <f t="shared" si="722"/>
        <v>15</v>
      </c>
      <c r="G3740" s="23">
        <v>16</v>
      </c>
      <c r="H3740" s="15">
        <f t="shared" si="717"/>
        <v>2446</v>
      </c>
      <c r="I3740" s="15">
        <f t="shared" si="723"/>
        <v>15</v>
      </c>
      <c r="J3740" s="15">
        <f t="shared" si="724"/>
        <v>15</v>
      </c>
      <c r="K3740" s="6">
        <f t="shared" si="725"/>
        <v>-146.7659651119163</v>
      </c>
      <c r="L3740" s="6">
        <f t="shared" si="726"/>
        <v>7081.628093844367</v>
      </c>
      <c r="M3740" s="6">
        <f t="shared" si="727"/>
        <v>-202767042.21090937</v>
      </c>
      <c r="N3740" s="6" t="str">
        <f t="shared" si="728"/>
        <v/>
      </c>
      <c r="O3740" s="10"/>
    </row>
    <row r="3741" spans="1:15">
      <c r="A3741" s="11" t="s">
        <v>957</v>
      </c>
      <c r="B3741" s="6">
        <f t="shared" si="718"/>
        <v>-136.42020180430009</v>
      </c>
      <c r="C3741" s="6">
        <f t="shared" si="719"/>
        <v>86.642783302307492</v>
      </c>
      <c r="D3741" s="6">
        <f t="shared" si="720"/>
        <v>0</v>
      </c>
      <c r="E3741" s="6">
        <f t="shared" si="721"/>
        <v>-11819.825982987031</v>
      </c>
      <c r="F3741" s="15">
        <f t="shared" si="722"/>
        <v>17</v>
      </c>
      <c r="G3741" s="23">
        <v>17</v>
      </c>
      <c r="H3741" s="15">
        <f t="shared" si="717"/>
        <v>2771</v>
      </c>
      <c r="I3741" s="15">
        <f t="shared" si="723"/>
        <v>17</v>
      </c>
      <c r="J3741" s="15">
        <f t="shared" si="724"/>
        <v>17</v>
      </c>
      <c r="K3741" s="6">
        <f t="shared" si="725"/>
        <v>-136.42020180430009</v>
      </c>
      <c r="L3741" s="6">
        <f t="shared" si="726"/>
        <v>7168.2708771466741</v>
      </c>
      <c r="M3741" s="6">
        <f t="shared" si="727"/>
        <v>-202693777.36281788</v>
      </c>
      <c r="N3741" s="6" t="str">
        <f t="shared" si="728"/>
        <v/>
      </c>
      <c r="O3741" s="10"/>
    </row>
    <row r="3742" spans="1:15">
      <c r="A3742" s="11" t="s">
        <v>958</v>
      </c>
      <c r="B3742" s="6">
        <f t="shared" si="718"/>
        <v>-128.27323846238204</v>
      </c>
      <c r="C3742" s="6">
        <f t="shared" si="719"/>
        <v>0</v>
      </c>
      <c r="D3742" s="6">
        <f t="shared" si="720"/>
        <v>0</v>
      </c>
      <c r="E3742" s="6">
        <f t="shared" si="721"/>
        <v>0</v>
      </c>
      <c r="F3742" s="15">
        <f t="shared" si="722"/>
        <v>18</v>
      </c>
      <c r="G3742" s="23">
        <v>18</v>
      </c>
      <c r="H3742" s="15">
        <f t="shared" si="717"/>
        <v>2934</v>
      </c>
      <c r="I3742" s="15">
        <f t="shared" si="723"/>
        <v>18</v>
      </c>
      <c r="J3742" s="15">
        <f t="shared" si="724"/>
        <v>18</v>
      </c>
      <c r="K3742" s="6">
        <f t="shared" si="725"/>
        <v>-128.27323846238204</v>
      </c>
      <c r="L3742" s="6">
        <f t="shared" si="726"/>
        <v>7168.2708771466741</v>
      </c>
      <c r="M3742" s="6">
        <f t="shared" si="727"/>
        <v>-202635377.72275683</v>
      </c>
      <c r="N3742" s="6" t="str">
        <f t="shared" si="728"/>
        <v/>
      </c>
      <c r="O3742" s="10"/>
    </row>
    <row r="3743" spans="1:15">
      <c r="A3743" s="11" t="s">
        <v>959</v>
      </c>
      <c r="B3743" s="6">
        <f t="shared" si="718"/>
        <v>-112.64546310374577</v>
      </c>
      <c r="C3743" s="6">
        <f t="shared" si="719"/>
        <v>14566.139479737285</v>
      </c>
      <c r="D3743" s="6">
        <f t="shared" si="720"/>
        <v>0</v>
      </c>
      <c r="E3743" s="6">
        <f t="shared" si="721"/>
        <v>-1640809.5273287608</v>
      </c>
      <c r="F3743" s="15">
        <f t="shared" si="722"/>
        <v>19</v>
      </c>
      <c r="G3743" s="23">
        <v>19</v>
      </c>
      <c r="H3743" s="15">
        <f t="shared" si="717"/>
        <v>3097</v>
      </c>
      <c r="I3743" s="15">
        <f t="shared" si="723"/>
        <v>19</v>
      </c>
      <c r="J3743" s="15">
        <f t="shared" si="724"/>
        <v>19</v>
      </c>
      <c r="K3743" s="6">
        <f t="shared" si="725"/>
        <v>-112.64546310374577</v>
      </c>
      <c r="L3743" s="6">
        <f t="shared" si="726"/>
        <v>21734.41035688396</v>
      </c>
      <c r="M3743" s="6">
        <f t="shared" si="727"/>
        <v>-202523353.59577894</v>
      </c>
      <c r="N3743" s="6" t="str">
        <f t="shared" si="728"/>
        <v/>
      </c>
      <c r="O3743" s="10"/>
    </row>
    <row r="3744" spans="1:15">
      <c r="A3744" s="11" t="s">
        <v>960</v>
      </c>
      <c r="B3744" s="6">
        <f t="shared" si="718"/>
        <v>-71.54678726911402</v>
      </c>
      <c r="C3744" s="6">
        <f t="shared" si="719"/>
        <v>0</v>
      </c>
      <c r="D3744" s="6">
        <f t="shared" si="720"/>
        <v>0</v>
      </c>
      <c r="E3744" s="6">
        <f t="shared" si="721"/>
        <v>0</v>
      </c>
      <c r="F3744" s="15">
        <f t="shared" si="722"/>
        <v>28</v>
      </c>
      <c r="G3744" s="23">
        <v>20</v>
      </c>
      <c r="H3744" s="15">
        <f t="shared" si="717"/>
        <v>4556</v>
      </c>
      <c r="I3744" s="15">
        <f t="shared" si="723"/>
        <v>29</v>
      </c>
      <c r="J3744" s="15">
        <f t="shared" si="724"/>
        <v>46</v>
      </c>
      <c r="K3744" s="6">
        <f t="shared" si="725"/>
        <v>-108.51085200824141</v>
      </c>
      <c r="L3744" s="6">
        <f t="shared" si="726"/>
        <v>27431.919927006034</v>
      </c>
      <c r="M3744" s="6">
        <f t="shared" si="727"/>
        <v>-202433490.26156312</v>
      </c>
      <c r="N3744" s="6" t="str">
        <f t="shared" si="728"/>
        <v/>
      </c>
      <c r="O3744" s="10"/>
    </row>
    <row r="3745" spans="1:15">
      <c r="A3745" s="11" t="s">
        <v>961</v>
      </c>
      <c r="B3745" s="6">
        <f t="shared" si="718"/>
        <v>-66.879152850731373</v>
      </c>
      <c r="C3745" s="6">
        <f t="shared" si="719"/>
        <v>0</v>
      </c>
      <c r="D3745" s="6">
        <f t="shared" si="720"/>
        <v>0</v>
      </c>
      <c r="E3745" s="6">
        <f t="shared" si="721"/>
        <v>0</v>
      </c>
      <c r="F3745" s="15">
        <f t="shared" si="722"/>
        <v>39</v>
      </c>
      <c r="G3745" s="23">
        <v>21</v>
      </c>
      <c r="H3745" s="15">
        <f t="shared" si="717"/>
        <v>6339</v>
      </c>
      <c r="I3745" s="15">
        <f t="shared" si="723"/>
        <v>39</v>
      </c>
      <c r="J3745" s="15">
        <f t="shared" si="724"/>
        <v>3</v>
      </c>
      <c r="K3745" s="6">
        <f t="shared" si="725"/>
        <v>-108.48612831364903</v>
      </c>
      <c r="L3745" s="6">
        <f t="shared" si="726"/>
        <v>27500.936449112654</v>
      </c>
      <c r="M3745" s="6">
        <f t="shared" si="727"/>
        <v>-202432812.04315275</v>
      </c>
      <c r="N3745" s="6" t="str">
        <f t="shared" si="728"/>
        <v/>
      </c>
      <c r="O3745" s="10"/>
    </row>
    <row r="3746" spans="1:15">
      <c r="A3746" s="11" t="s">
        <v>962</v>
      </c>
      <c r="B3746" s="6">
        <f t="shared" si="718"/>
        <v>-71.54678726911402</v>
      </c>
      <c r="C3746" s="6">
        <f t="shared" si="719"/>
        <v>0</v>
      </c>
      <c r="D3746" s="6">
        <f t="shared" si="720"/>
        <v>0</v>
      </c>
      <c r="E3746" s="6">
        <f t="shared" si="721"/>
        <v>0</v>
      </c>
      <c r="F3746" s="15">
        <f t="shared" si="722"/>
        <v>28</v>
      </c>
      <c r="G3746" s="23">
        <v>22</v>
      </c>
      <c r="H3746" s="15">
        <f t="shared" si="717"/>
        <v>4558</v>
      </c>
      <c r="I3746" s="15">
        <f t="shared" si="723"/>
        <v>30</v>
      </c>
      <c r="J3746" s="15">
        <f t="shared" si="724"/>
        <v>6</v>
      </c>
      <c r="K3746" s="6">
        <f t="shared" si="725"/>
        <v>-106.06546263498014</v>
      </c>
      <c r="L3746" s="6">
        <f t="shared" si="726"/>
        <v>27546.336132098575</v>
      </c>
      <c r="M3746" s="6">
        <f t="shared" si="727"/>
        <v>-202366241.47015911</v>
      </c>
      <c r="N3746" s="6" t="str">
        <f t="shared" si="728"/>
        <v/>
      </c>
      <c r="O3746" s="10"/>
    </row>
    <row r="3747" spans="1:15">
      <c r="A3747" s="11" t="s">
        <v>963</v>
      </c>
      <c r="B3747" s="6">
        <f t="shared" si="718"/>
        <v>-68.311506293431677</v>
      </c>
      <c r="C3747" s="6">
        <f t="shared" si="719"/>
        <v>0</v>
      </c>
      <c r="D3747" s="6">
        <f t="shared" si="720"/>
        <v>0</v>
      </c>
      <c r="E3747" s="6">
        <f t="shared" si="721"/>
        <v>0</v>
      </c>
      <c r="F3747" s="15">
        <f t="shared" si="722"/>
        <v>36</v>
      </c>
      <c r="G3747" s="23">
        <v>23</v>
      </c>
      <c r="H3747" s="15">
        <f t="shared" si="717"/>
        <v>5855</v>
      </c>
      <c r="I3747" s="15">
        <f t="shared" si="723"/>
        <v>36</v>
      </c>
      <c r="J3747" s="15">
        <f t="shared" si="724"/>
        <v>157</v>
      </c>
      <c r="K3747" s="6">
        <f t="shared" si="725"/>
        <v>-89.516081666109756</v>
      </c>
      <c r="L3747" s="6">
        <f t="shared" si="726"/>
        <v>27546.336132098575</v>
      </c>
      <c r="M3747" s="6">
        <f t="shared" si="727"/>
        <v>-201910366.65921244</v>
      </c>
      <c r="N3747" s="6" t="str">
        <f t="shared" si="728"/>
        <v/>
      </c>
      <c r="O3747" s="10"/>
    </row>
    <row r="3748" spans="1:15">
      <c r="A3748" s="11" t="s">
        <v>964</v>
      </c>
      <c r="B3748" s="6">
        <f t="shared" si="718"/>
        <v>-66.879152850731373</v>
      </c>
      <c r="C3748" s="6">
        <f t="shared" si="719"/>
        <v>0</v>
      </c>
      <c r="D3748" s="6">
        <f t="shared" si="720"/>
        <v>0</v>
      </c>
      <c r="E3748" s="6">
        <f t="shared" si="721"/>
        <v>0</v>
      </c>
      <c r="F3748" s="15">
        <f t="shared" si="722"/>
        <v>39</v>
      </c>
      <c r="G3748" s="23">
        <v>24</v>
      </c>
      <c r="H3748" s="15">
        <f t="shared" si="717"/>
        <v>6342</v>
      </c>
      <c r="I3748" s="15">
        <f t="shared" si="723"/>
        <v>40</v>
      </c>
      <c r="J3748" s="15">
        <f t="shared" si="724"/>
        <v>158</v>
      </c>
      <c r="K3748" s="6">
        <f t="shared" si="725"/>
        <v>-89.516081666109756</v>
      </c>
      <c r="L3748" s="6">
        <f t="shared" si="726"/>
        <v>27546.336132098575</v>
      </c>
      <c r="M3748" s="6">
        <f t="shared" si="727"/>
        <v>-201910366.65921244</v>
      </c>
      <c r="N3748" s="6" t="str">
        <f t="shared" si="728"/>
        <v/>
      </c>
      <c r="O3748" s="10"/>
    </row>
    <row r="3749" spans="1:15">
      <c r="A3749" s="11" t="s">
        <v>965</v>
      </c>
      <c r="B3749" s="6">
        <f t="shared" si="718"/>
        <v>-64.062795197689809</v>
      </c>
      <c r="C3749" s="6">
        <f t="shared" si="719"/>
        <v>0</v>
      </c>
      <c r="D3749" s="6">
        <f t="shared" si="720"/>
        <v>0</v>
      </c>
      <c r="E3749" s="6">
        <f t="shared" si="721"/>
        <v>0</v>
      </c>
      <c r="F3749" s="15">
        <f t="shared" si="722"/>
        <v>45</v>
      </c>
      <c r="G3749" s="23">
        <v>25</v>
      </c>
      <c r="H3749" s="15">
        <f t="shared" si="717"/>
        <v>7315</v>
      </c>
      <c r="I3749" s="15">
        <f t="shared" si="723"/>
        <v>45</v>
      </c>
      <c r="J3749" s="15">
        <f t="shared" si="724"/>
        <v>159</v>
      </c>
      <c r="K3749" s="6">
        <f t="shared" si="725"/>
        <v>-79.902871061605751</v>
      </c>
      <c r="L3749" s="6">
        <f t="shared" si="726"/>
        <v>27546.336132098575</v>
      </c>
      <c r="M3749" s="6">
        <f t="shared" si="727"/>
        <v>-201645557.92859212</v>
      </c>
      <c r="N3749" s="6" t="str">
        <f t="shared" si="728"/>
        <v/>
      </c>
      <c r="O3749" s="10"/>
    </row>
    <row r="3750" spans="1:15">
      <c r="A3750" s="11" t="s">
        <v>966</v>
      </c>
      <c r="B3750" s="6">
        <f t="shared" si="718"/>
        <v>-47.268327879795336</v>
      </c>
      <c r="C3750" s="6">
        <f t="shared" si="719"/>
        <v>0</v>
      </c>
      <c r="D3750" s="6">
        <f t="shared" si="720"/>
        <v>0</v>
      </c>
      <c r="E3750" s="6">
        <f t="shared" si="721"/>
        <v>0</v>
      </c>
      <c r="F3750" s="15">
        <f t="shared" si="722"/>
        <v>52</v>
      </c>
      <c r="G3750" s="23">
        <v>26</v>
      </c>
      <c r="H3750" s="15">
        <f t="shared" si="717"/>
        <v>8450</v>
      </c>
      <c r="I3750" s="15">
        <f t="shared" si="723"/>
        <v>52</v>
      </c>
      <c r="J3750" s="15">
        <f t="shared" si="724"/>
        <v>160</v>
      </c>
      <c r="K3750" s="6">
        <f t="shared" si="725"/>
        <v>-79.902871061605751</v>
      </c>
      <c r="L3750" s="6">
        <f t="shared" si="726"/>
        <v>27546.336132098575</v>
      </c>
      <c r="M3750" s="6">
        <f t="shared" si="727"/>
        <v>-201645557.92859212</v>
      </c>
      <c r="N3750" s="6" t="str">
        <f t="shared" si="728"/>
        <v/>
      </c>
      <c r="O3750" s="10"/>
    </row>
    <row r="3751" spans="1:15">
      <c r="A3751" s="11" t="s">
        <v>967</v>
      </c>
      <c r="B3751" s="6">
        <f t="shared" si="718"/>
        <v>-46.14675253681169</v>
      </c>
      <c r="C3751" s="6">
        <f t="shared" si="719"/>
        <v>0</v>
      </c>
      <c r="D3751" s="6">
        <f t="shared" si="720"/>
        <v>0</v>
      </c>
      <c r="E3751" s="6">
        <f t="shared" si="721"/>
        <v>0</v>
      </c>
      <c r="F3751" s="15">
        <f t="shared" si="722"/>
        <v>53</v>
      </c>
      <c r="G3751" s="23">
        <v>27</v>
      </c>
      <c r="H3751" s="15">
        <f t="shared" si="717"/>
        <v>8613</v>
      </c>
      <c r="I3751" s="15">
        <f t="shared" si="723"/>
        <v>53</v>
      </c>
      <c r="J3751" s="15">
        <f t="shared" si="724"/>
        <v>4</v>
      </c>
      <c r="K3751" s="6">
        <f t="shared" si="725"/>
        <v>-71.546787269114034</v>
      </c>
      <c r="L3751" s="6">
        <f t="shared" si="726"/>
        <v>183598.81810216454</v>
      </c>
      <c r="M3751" s="6">
        <f t="shared" si="727"/>
        <v>-201415378.43569615</v>
      </c>
      <c r="N3751" s="6" t="str">
        <f t="shared" si="728"/>
        <v/>
      </c>
      <c r="O3751" s="10"/>
    </row>
    <row r="3752" spans="1:15">
      <c r="A3752" s="11" t="s">
        <v>968</v>
      </c>
      <c r="B3752" s="6">
        <f t="shared" ref="B3752:B3778" si="729">C3587</f>
        <v>0</v>
      </c>
      <c r="C3752" s="6">
        <f t="shared" ref="C3752:C3778" si="730">C3635</f>
        <v>0</v>
      </c>
      <c r="D3752" s="6">
        <f t="shared" si="720"/>
        <v>0</v>
      </c>
      <c r="E3752" s="6">
        <f t="shared" si="721"/>
        <v>0</v>
      </c>
      <c r="F3752" s="15">
        <f t="shared" si="722"/>
        <v>60</v>
      </c>
      <c r="G3752" s="23">
        <v>28</v>
      </c>
      <c r="H3752" s="15">
        <f t="shared" si="717"/>
        <v>9748</v>
      </c>
      <c r="I3752" s="15">
        <f t="shared" si="723"/>
        <v>60</v>
      </c>
      <c r="J3752" s="15">
        <f t="shared" si="724"/>
        <v>1</v>
      </c>
      <c r="K3752" s="6">
        <f t="shared" si="725"/>
        <v>-71.54678726911402</v>
      </c>
      <c r="L3752" s="6">
        <f t="shared" si="726"/>
        <v>965572.25958522409</v>
      </c>
      <c r="M3752" s="6">
        <f t="shared" si="727"/>
        <v>-201415378.43569615</v>
      </c>
      <c r="N3752" s="6" t="str">
        <f t="shared" si="728"/>
        <v/>
      </c>
      <c r="O3752" s="10"/>
    </row>
    <row r="3753" spans="1:15">
      <c r="A3753" s="11" t="s">
        <v>969</v>
      </c>
      <c r="B3753" s="6">
        <f t="shared" si="729"/>
        <v>-245.64050584678085</v>
      </c>
      <c r="C3753" s="6">
        <f t="shared" si="730"/>
        <v>1279.2963653438544</v>
      </c>
      <c r="D3753" s="6">
        <f t="shared" si="720"/>
        <v>0</v>
      </c>
      <c r="E3753" s="6">
        <f t="shared" si="721"/>
        <v>-314247.00631101255</v>
      </c>
      <c r="F3753" s="15">
        <f t="shared" si="722"/>
        <v>13</v>
      </c>
      <c r="G3753" s="23">
        <v>29</v>
      </c>
      <c r="H3753" s="15">
        <f t="shared" si="717"/>
        <v>2135</v>
      </c>
      <c r="I3753" s="15">
        <f t="shared" si="723"/>
        <v>13</v>
      </c>
      <c r="J3753" s="15">
        <f t="shared" si="724"/>
        <v>20</v>
      </c>
      <c r="K3753" s="6">
        <f t="shared" si="725"/>
        <v>-71.54678726911402</v>
      </c>
      <c r="L3753" s="6">
        <f t="shared" si="726"/>
        <v>965572.25958522409</v>
      </c>
      <c r="M3753" s="6">
        <f t="shared" si="727"/>
        <v>-201415378.43569615</v>
      </c>
      <c r="N3753" s="6" t="str">
        <f t="shared" si="728"/>
        <v/>
      </c>
      <c r="O3753" s="10"/>
    </row>
    <row r="3754" spans="1:15">
      <c r="A3754" s="11" t="s">
        <v>970</v>
      </c>
      <c r="B3754" s="6">
        <f t="shared" si="729"/>
        <v>0</v>
      </c>
      <c r="C3754" s="6">
        <f t="shared" si="730"/>
        <v>0</v>
      </c>
      <c r="D3754" s="6">
        <f t="shared" si="720"/>
        <v>0</v>
      </c>
      <c r="E3754" s="6">
        <f t="shared" si="721"/>
        <v>0</v>
      </c>
      <c r="F3754" s="15">
        <f t="shared" si="722"/>
        <v>60</v>
      </c>
      <c r="G3754" s="23">
        <v>30</v>
      </c>
      <c r="H3754" s="15">
        <f t="shared" si="717"/>
        <v>9750</v>
      </c>
      <c r="I3754" s="15">
        <f t="shared" si="723"/>
        <v>61</v>
      </c>
      <c r="J3754" s="15">
        <f t="shared" si="724"/>
        <v>22</v>
      </c>
      <c r="K3754" s="6">
        <f t="shared" si="725"/>
        <v>-71.54678726911402</v>
      </c>
      <c r="L3754" s="6">
        <f t="shared" si="726"/>
        <v>965572.25958522409</v>
      </c>
      <c r="M3754" s="6">
        <f t="shared" si="727"/>
        <v>-201415378.43569615</v>
      </c>
      <c r="N3754" s="6" t="str">
        <f t="shared" si="728"/>
        <v/>
      </c>
      <c r="O3754" s="10"/>
    </row>
    <row r="3755" spans="1:15">
      <c r="A3755" s="11" t="s">
        <v>971</v>
      </c>
      <c r="B3755" s="6">
        <f t="shared" si="729"/>
        <v>0</v>
      </c>
      <c r="C3755" s="6">
        <f t="shared" si="730"/>
        <v>0</v>
      </c>
      <c r="D3755" s="6">
        <f t="shared" si="720"/>
        <v>0</v>
      </c>
      <c r="E3755" s="6">
        <f t="shared" si="721"/>
        <v>0</v>
      </c>
      <c r="F3755" s="15">
        <f t="shared" si="722"/>
        <v>60</v>
      </c>
      <c r="G3755" s="23">
        <v>31</v>
      </c>
      <c r="H3755" s="15">
        <f t="shared" si="717"/>
        <v>9751</v>
      </c>
      <c r="I3755" s="15">
        <f t="shared" si="723"/>
        <v>62</v>
      </c>
      <c r="J3755" s="15">
        <f t="shared" si="724"/>
        <v>10</v>
      </c>
      <c r="K3755" s="6">
        <f t="shared" si="725"/>
        <v>-69.756484894630901</v>
      </c>
      <c r="L3755" s="6">
        <f t="shared" si="726"/>
        <v>965572.25958522409</v>
      </c>
      <c r="M3755" s="6">
        <f t="shared" si="727"/>
        <v>-199686712.12662569</v>
      </c>
      <c r="N3755" s="6" t="str">
        <f t="shared" si="728"/>
        <v/>
      </c>
      <c r="O3755" s="10"/>
    </row>
    <row r="3756" spans="1:15">
      <c r="A3756" s="11" t="s">
        <v>972</v>
      </c>
      <c r="B3756" s="6">
        <f t="shared" si="729"/>
        <v>-184.93676044911595</v>
      </c>
      <c r="C3756" s="6">
        <f t="shared" si="730"/>
        <v>1034.6792369852424</v>
      </c>
      <c r="D3756" s="6">
        <f t="shared" si="720"/>
        <v>0</v>
      </c>
      <c r="E3756" s="6">
        <f t="shared" si="721"/>
        <v>-191350.22619201386</v>
      </c>
      <c r="F3756" s="15">
        <f t="shared" si="722"/>
        <v>14</v>
      </c>
      <c r="G3756" s="23">
        <v>32</v>
      </c>
      <c r="H3756" s="15">
        <f t="shared" ref="H3756:H3787" si="731">F3756*162+G3756</f>
        <v>2300</v>
      </c>
      <c r="I3756" s="15">
        <f t="shared" si="723"/>
        <v>14</v>
      </c>
      <c r="J3756" s="15">
        <f t="shared" si="724"/>
        <v>11</v>
      </c>
      <c r="K3756" s="6">
        <f t="shared" si="725"/>
        <v>-69.502747173612875</v>
      </c>
      <c r="L3756" s="6">
        <f t="shared" si="726"/>
        <v>965572.25958522409</v>
      </c>
      <c r="M3756" s="6">
        <f t="shared" si="727"/>
        <v>-199441710.02200031</v>
      </c>
      <c r="N3756" s="6" t="str">
        <f t="shared" si="728"/>
        <v/>
      </c>
      <c r="O3756" s="10"/>
    </row>
    <row r="3757" spans="1:15">
      <c r="A3757" s="11" t="s">
        <v>973</v>
      </c>
      <c r="B3757" s="6">
        <f t="shared" si="729"/>
        <v>0</v>
      </c>
      <c r="C3757" s="6">
        <f t="shared" si="730"/>
        <v>0</v>
      </c>
      <c r="D3757" s="6">
        <f t="shared" ref="D3757:D3788" si="732">IF(ISERROR(B3757),C3757,0)</f>
        <v>0</v>
      </c>
      <c r="E3757" s="6">
        <f t="shared" ref="E3757:E3788" si="733">MAX($B$3689,B3757)*C3757</f>
        <v>0</v>
      </c>
      <c r="F3757" s="15">
        <f t="shared" ref="F3757:F3788" si="734">RANK(B3757,B$3725:B$3886,1)</f>
        <v>60</v>
      </c>
      <c r="G3757" s="23">
        <v>33</v>
      </c>
      <c r="H3757" s="15">
        <f t="shared" si="731"/>
        <v>9753</v>
      </c>
      <c r="I3757" s="15">
        <f t="shared" ref="I3757:I3788" si="735">RANK(H3757,H$3725:H$3886,1)</f>
        <v>63</v>
      </c>
      <c r="J3757" s="15">
        <f t="shared" ref="J3757:J3788" si="736">MATCH(G3757,I$3725:I$3886,0)</f>
        <v>2</v>
      </c>
      <c r="K3757" s="6">
        <f t="shared" ref="K3757:K3788" si="737">INDEX(B$3725:B$3886,J3757,1)</f>
        <v>-69.18034037952404</v>
      </c>
      <c r="L3757" s="6">
        <f t="shared" ref="L3757:L3788" si="738">L3756+INDEX(C$3725:C$3886,J3757,1)</f>
        <v>1012130.059628921</v>
      </c>
      <c r="M3757" s="6">
        <f t="shared" ref="M3757:M3788" si="739">M3756+(K3757-K3756)*L3756</f>
        <v>-199130402.96532634</v>
      </c>
      <c r="N3757" s="6" t="str">
        <f t="shared" ref="N3757:N3788" si="740">IF((M3756&gt;0)=(M3757&gt;0),"",K3757-M3757/L3756)</f>
        <v/>
      </c>
      <c r="O3757" s="10"/>
    </row>
    <row r="3758" spans="1:15">
      <c r="A3758" s="11" t="s">
        <v>974</v>
      </c>
      <c r="B3758" s="6">
        <f t="shared" si="729"/>
        <v>-518.75751076322319</v>
      </c>
      <c r="C3758" s="6">
        <f t="shared" si="730"/>
        <v>280.74040096186047</v>
      </c>
      <c r="D3758" s="6">
        <f t="shared" si="732"/>
        <v>0</v>
      </c>
      <c r="E3758" s="6">
        <f t="shared" si="733"/>
        <v>-145636.19157364394</v>
      </c>
      <c r="F3758" s="15">
        <f t="shared" si="734"/>
        <v>8</v>
      </c>
      <c r="G3758" s="23">
        <v>34</v>
      </c>
      <c r="H3758" s="15">
        <f t="shared" si="731"/>
        <v>1330</v>
      </c>
      <c r="I3758" s="15">
        <f t="shared" si="735"/>
        <v>8</v>
      </c>
      <c r="J3758" s="15">
        <f t="shared" si="736"/>
        <v>5</v>
      </c>
      <c r="K3758" s="6">
        <f t="shared" si="737"/>
        <v>-69.008422420827173</v>
      </c>
      <c r="L3758" s="6">
        <f t="shared" si="738"/>
        <v>1063673.6193443069</v>
      </c>
      <c r="M3758" s="6">
        <f t="shared" si="739"/>
        <v>-198956399.6315392</v>
      </c>
      <c r="N3758" s="6" t="str">
        <f t="shared" si="740"/>
        <v/>
      </c>
      <c r="O3758" s="10"/>
    </row>
    <row r="3759" spans="1:15">
      <c r="A3759" s="11" t="s">
        <v>975</v>
      </c>
      <c r="B3759" s="6">
        <f t="shared" si="729"/>
        <v>-532.01718863838039</v>
      </c>
      <c r="C3759" s="6">
        <f t="shared" si="730"/>
        <v>0.34925074079425844</v>
      </c>
      <c r="D3759" s="6">
        <f t="shared" si="732"/>
        <v>0</v>
      </c>
      <c r="E3759" s="6">
        <f t="shared" si="733"/>
        <v>-185.8073972472331</v>
      </c>
      <c r="F3759" s="15">
        <f t="shared" si="734"/>
        <v>7</v>
      </c>
      <c r="G3759" s="23">
        <v>35</v>
      </c>
      <c r="H3759" s="15">
        <f t="shared" si="731"/>
        <v>1169</v>
      </c>
      <c r="I3759" s="15">
        <f t="shared" si="735"/>
        <v>7</v>
      </c>
      <c r="J3759" s="15">
        <f t="shared" si="736"/>
        <v>7</v>
      </c>
      <c r="K3759" s="6">
        <f t="shared" si="737"/>
        <v>-68.936711297361612</v>
      </c>
      <c r="L3759" s="6">
        <f t="shared" si="738"/>
        <v>1151973.7118546022</v>
      </c>
      <c r="M3759" s="6">
        <f t="shared" si="739"/>
        <v>-198880122.40129533</v>
      </c>
      <c r="N3759" s="6" t="str">
        <f t="shared" si="740"/>
        <v/>
      </c>
      <c r="O3759" s="10"/>
    </row>
    <row r="3760" spans="1:15">
      <c r="A3760" s="11" t="s">
        <v>976</v>
      </c>
      <c r="B3760" s="6">
        <f t="shared" si="729"/>
        <v>-315.77945343150122</v>
      </c>
      <c r="C3760" s="6">
        <f t="shared" si="730"/>
        <v>0.39755035497183061</v>
      </c>
      <c r="D3760" s="6">
        <f t="shared" si="732"/>
        <v>0</v>
      </c>
      <c r="E3760" s="6">
        <f t="shared" si="733"/>
        <v>-125.53823380450396</v>
      </c>
      <c r="F3760" s="15">
        <f t="shared" si="734"/>
        <v>12</v>
      </c>
      <c r="G3760" s="23">
        <v>36</v>
      </c>
      <c r="H3760" s="15">
        <f t="shared" si="731"/>
        <v>1980</v>
      </c>
      <c r="I3760" s="15">
        <f t="shared" si="735"/>
        <v>12</v>
      </c>
      <c r="J3760" s="15">
        <f t="shared" si="736"/>
        <v>23</v>
      </c>
      <c r="K3760" s="6">
        <f t="shared" si="737"/>
        <v>-68.311506293431677</v>
      </c>
      <c r="L3760" s="6">
        <f t="shared" si="738"/>
        <v>1151973.7118546022</v>
      </c>
      <c r="M3760" s="6">
        <f t="shared" si="739"/>
        <v>-198159902.6722481</v>
      </c>
      <c r="N3760" s="6" t="str">
        <f t="shared" si="740"/>
        <v/>
      </c>
      <c r="O3760" s="10"/>
    </row>
    <row r="3761" spans="1:15">
      <c r="A3761" s="11" t="s">
        <v>977</v>
      </c>
      <c r="B3761" s="6">
        <f t="shared" si="729"/>
        <v>-68.03152265145502</v>
      </c>
      <c r="C3761" s="6">
        <f t="shared" si="730"/>
        <v>0</v>
      </c>
      <c r="D3761" s="6">
        <f t="shared" si="732"/>
        <v>0</v>
      </c>
      <c r="E3761" s="6">
        <f t="shared" si="733"/>
        <v>0</v>
      </c>
      <c r="F3761" s="15">
        <f t="shared" si="734"/>
        <v>37</v>
      </c>
      <c r="G3761" s="23">
        <v>37</v>
      </c>
      <c r="H3761" s="15">
        <f t="shared" si="731"/>
        <v>6031</v>
      </c>
      <c r="I3761" s="15">
        <f t="shared" si="735"/>
        <v>37</v>
      </c>
      <c r="J3761" s="15">
        <f t="shared" si="736"/>
        <v>37</v>
      </c>
      <c r="K3761" s="6">
        <f t="shared" si="737"/>
        <v>-68.03152265145502</v>
      </c>
      <c r="L3761" s="6">
        <f t="shared" si="738"/>
        <v>1151973.7118546022</v>
      </c>
      <c r="M3761" s="6">
        <f t="shared" si="739"/>
        <v>-197837368.87694168</v>
      </c>
      <c r="N3761" s="6" t="str">
        <f t="shared" si="740"/>
        <v/>
      </c>
      <c r="O3761" s="10"/>
    </row>
    <row r="3762" spans="1:15">
      <c r="A3762" s="11" t="s">
        <v>978</v>
      </c>
      <c r="B3762" s="6">
        <f t="shared" si="729"/>
        <v>-67.654133362745583</v>
      </c>
      <c r="C3762" s="6">
        <f t="shared" si="730"/>
        <v>0</v>
      </c>
      <c r="D3762" s="6">
        <f t="shared" si="732"/>
        <v>0</v>
      </c>
      <c r="E3762" s="6">
        <f t="shared" si="733"/>
        <v>0</v>
      </c>
      <c r="F3762" s="15">
        <f t="shared" si="734"/>
        <v>38</v>
      </c>
      <c r="G3762" s="23">
        <v>38</v>
      </c>
      <c r="H3762" s="15">
        <f t="shared" si="731"/>
        <v>6194</v>
      </c>
      <c r="I3762" s="15">
        <f t="shared" si="735"/>
        <v>38</v>
      </c>
      <c r="J3762" s="15">
        <f t="shared" si="736"/>
        <v>38</v>
      </c>
      <c r="K3762" s="6">
        <f t="shared" si="737"/>
        <v>-67.654133362745583</v>
      </c>
      <c r="L3762" s="6">
        <f t="shared" si="738"/>
        <v>1151973.7118546022</v>
      </c>
      <c r="M3762" s="6">
        <f t="shared" si="739"/>
        <v>-197402626.33721289</v>
      </c>
      <c r="N3762" s="6" t="str">
        <f t="shared" si="740"/>
        <v/>
      </c>
      <c r="O3762" s="10"/>
    </row>
    <row r="3763" spans="1:15">
      <c r="A3763" s="11" t="s">
        <v>979</v>
      </c>
      <c r="B3763" s="6">
        <f t="shared" si="729"/>
        <v>-58.518933353384632</v>
      </c>
      <c r="C3763" s="6">
        <f t="shared" si="730"/>
        <v>82068.760763746381</v>
      </c>
      <c r="D3763" s="6">
        <f t="shared" si="732"/>
        <v>0</v>
      </c>
      <c r="E3763" s="6">
        <f t="shared" si="733"/>
        <v>-4802576.3415285423</v>
      </c>
      <c r="F3763" s="15">
        <f t="shared" si="734"/>
        <v>49</v>
      </c>
      <c r="G3763" s="23">
        <v>39</v>
      </c>
      <c r="H3763" s="15">
        <f t="shared" si="731"/>
        <v>7977</v>
      </c>
      <c r="I3763" s="15">
        <f t="shared" si="735"/>
        <v>49</v>
      </c>
      <c r="J3763" s="15">
        <f t="shared" si="736"/>
        <v>21</v>
      </c>
      <c r="K3763" s="6">
        <f t="shared" si="737"/>
        <v>-66.879152850731373</v>
      </c>
      <c r="L3763" s="6">
        <f t="shared" si="738"/>
        <v>1151973.7118546022</v>
      </c>
      <c r="M3763" s="6">
        <f t="shared" si="739"/>
        <v>-196509869.16017291</v>
      </c>
      <c r="N3763" s="6" t="str">
        <f t="shared" si="740"/>
        <v/>
      </c>
      <c r="O3763" s="10"/>
    </row>
    <row r="3764" spans="1:15">
      <c r="A3764" s="11" t="s">
        <v>980</v>
      </c>
      <c r="B3764" s="6">
        <f t="shared" si="729"/>
        <v>-45.23816450126828</v>
      </c>
      <c r="C3764" s="6">
        <f t="shared" si="730"/>
        <v>965.11189893119717</v>
      </c>
      <c r="D3764" s="6">
        <f t="shared" si="732"/>
        <v>0</v>
      </c>
      <c r="E3764" s="6">
        <f t="shared" si="733"/>
        <v>-43659.890845980903</v>
      </c>
      <c r="F3764" s="15">
        <f t="shared" si="734"/>
        <v>54</v>
      </c>
      <c r="G3764" s="23">
        <v>40</v>
      </c>
      <c r="H3764" s="15">
        <f t="shared" si="731"/>
        <v>8788</v>
      </c>
      <c r="I3764" s="15">
        <f t="shared" si="735"/>
        <v>54</v>
      </c>
      <c r="J3764" s="15">
        <f t="shared" si="736"/>
        <v>24</v>
      </c>
      <c r="K3764" s="6">
        <f t="shared" si="737"/>
        <v>-66.879152850731373</v>
      </c>
      <c r="L3764" s="6">
        <f t="shared" si="738"/>
        <v>1151973.7118546022</v>
      </c>
      <c r="M3764" s="6">
        <f t="shared" si="739"/>
        <v>-196509869.16017291</v>
      </c>
      <c r="N3764" s="6" t="str">
        <f t="shared" si="740"/>
        <v/>
      </c>
      <c r="O3764" s="10"/>
    </row>
    <row r="3765" spans="1:15">
      <c r="A3765" s="11" t="s">
        <v>981</v>
      </c>
      <c r="B3765" s="6">
        <f t="shared" si="729"/>
        <v>-35.914954785107639</v>
      </c>
      <c r="C3765" s="6">
        <f t="shared" si="730"/>
        <v>112389.33824041419</v>
      </c>
      <c r="D3765" s="6">
        <f t="shared" si="732"/>
        <v>0</v>
      </c>
      <c r="E3765" s="6">
        <f t="shared" si="733"/>
        <v>-4036458.0012326445</v>
      </c>
      <c r="F3765" s="15">
        <f t="shared" si="734"/>
        <v>59</v>
      </c>
      <c r="G3765" s="23">
        <v>41</v>
      </c>
      <c r="H3765" s="15">
        <f t="shared" si="731"/>
        <v>9599</v>
      </c>
      <c r="I3765" s="15">
        <f t="shared" si="735"/>
        <v>59</v>
      </c>
      <c r="J3765" s="15">
        <f t="shared" si="736"/>
        <v>161</v>
      </c>
      <c r="K3765" s="6">
        <f t="shared" si="737"/>
        <v>-66.692296565100293</v>
      </c>
      <c r="L3765" s="6">
        <f t="shared" si="738"/>
        <v>1151973.7118546022</v>
      </c>
      <c r="M3765" s="6">
        <f t="shared" si="739"/>
        <v>-196294615.6312311</v>
      </c>
      <c r="N3765" s="6" t="str">
        <f t="shared" si="740"/>
        <v/>
      </c>
      <c r="O3765" s="10"/>
    </row>
    <row r="3766" spans="1:15">
      <c r="A3766" s="11" t="s">
        <v>982</v>
      </c>
      <c r="B3766" s="6">
        <f t="shared" si="729"/>
        <v>0</v>
      </c>
      <c r="C3766" s="6">
        <f t="shared" si="730"/>
        <v>0</v>
      </c>
      <c r="D3766" s="6">
        <f t="shared" si="732"/>
        <v>0</v>
      </c>
      <c r="E3766" s="6">
        <f t="shared" si="733"/>
        <v>0</v>
      </c>
      <c r="F3766" s="15">
        <f t="shared" si="734"/>
        <v>60</v>
      </c>
      <c r="G3766" s="23">
        <v>42</v>
      </c>
      <c r="H3766" s="15">
        <f t="shared" si="731"/>
        <v>9762</v>
      </c>
      <c r="I3766" s="15">
        <f t="shared" si="735"/>
        <v>64</v>
      </c>
      <c r="J3766" s="15">
        <f t="shared" si="736"/>
        <v>162</v>
      </c>
      <c r="K3766" s="6">
        <f t="shared" si="737"/>
        <v>-66.692296565100293</v>
      </c>
      <c r="L3766" s="6">
        <f t="shared" si="738"/>
        <v>1151973.7118546022</v>
      </c>
      <c r="M3766" s="6">
        <f t="shared" si="739"/>
        <v>-196294615.6312311</v>
      </c>
      <c r="N3766" s="6" t="str">
        <f t="shared" si="740"/>
        <v/>
      </c>
      <c r="O3766" s="10"/>
    </row>
    <row r="3767" spans="1:15">
      <c r="A3767" s="11" t="s">
        <v>983</v>
      </c>
      <c r="B3767" s="6">
        <f t="shared" si="729"/>
        <v>0</v>
      </c>
      <c r="C3767" s="6">
        <f t="shared" si="730"/>
        <v>0</v>
      </c>
      <c r="D3767" s="6">
        <f t="shared" si="732"/>
        <v>0</v>
      </c>
      <c r="E3767" s="6">
        <f t="shared" si="733"/>
        <v>0</v>
      </c>
      <c r="F3767" s="15">
        <f t="shared" si="734"/>
        <v>60</v>
      </c>
      <c r="G3767" s="23">
        <v>43</v>
      </c>
      <c r="H3767" s="15">
        <f t="shared" si="731"/>
        <v>9763</v>
      </c>
      <c r="I3767" s="15">
        <f t="shared" si="735"/>
        <v>65</v>
      </c>
      <c r="J3767" s="15">
        <f t="shared" si="736"/>
        <v>50</v>
      </c>
      <c r="K3767" s="6">
        <f t="shared" si="737"/>
        <v>-66.598298769766799</v>
      </c>
      <c r="L3767" s="6">
        <f t="shared" si="738"/>
        <v>1151973.7118546022</v>
      </c>
      <c r="M3767" s="6">
        <f t="shared" si="739"/>
        <v>-196186332.64203462</v>
      </c>
      <c r="N3767" s="6" t="str">
        <f t="shared" si="740"/>
        <v/>
      </c>
      <c r="O3767" s="10"/>
    </row>
    <row r="3768" spans="1:15">
      <c r="A3768" s="11" t="s">
        <v>984</v>
      </c>
      <c r="B3768" s="6">
        <f t="shared" si="729"/>
        <v>0</v>
      </c>
      <c r="C3768" s="6">
        <f t="shared" si="730"/>
        <v>0</v>
      </c>
      <c r="D3768" s="6">
        <f t="shared" si="732"/>
        <v>0</v>
      </c>
      <c r="E3768" s="6">
        <f t="shared" si="733"/>
        <v>0</v>
      </c>
      <c r="F3768" s="15">
        <f t="shared" si="734"/>
        <v>60</v>
      </c>
      <c r="G3768" s="23">
        <v>44</v>
      </c>
      <c r="H3768" s="15">
        <f t="shared" si="731"/>
        <v>9764</v>
      </c>
      <c r="I3768" s="15">
        <f t="shared" si="735"/>
        <v>66</v>
      </c>
      <c r="J3768" s="15">
        <f t="shared" si="736"/>
        <v>8</v>
      </c>
      <c r="K3768" s="6">
        <f t="shared" si="737"/>
        <v>-64.384273724100439</v>
      </c>
      <c r="L3768" s="6">
        <f t="shared" si="738"/>
        <v>1152092.9792224697</v>
      </c>
      <c r="M3768" s="6">
        <f t="shared" si="739"/>
        <v>-193635833.99203929</v>
      </c>
      <c r="N3768" s="6" t="str">
        <f t="shared" si="740"/>
        <v/>
      </c>
      <c r="O3768" s="10"/>
    </row>
    <row r="3769" spans="1:15">
      <c r="A3769" s="11" t="s">
        <v>985</v>
      </c>
      <c r="B3769" s="6">
        <f t="shared" si="729"/>
        <v>0</v>
      </c>
      <c r="C3769" s="6">
        <f t="shared" si="730"/>
        <v>0</v>
      </c>
      <c r="D3769" s="6">
        <f t="shared" si="732"/>
        <v>0</v>
      </c>
      <c r="E3769" s="6">
        <f t="shared" si="733"/>
        <v>0</v>
      </c>
      <c r="F3769" s="15">
        <f t="shared" si="734"/>
        <v>60</v>
      </c>
      <c r="G3769" s="23">
        <v>45</v>
      </c>
      <c r="H3769" s="15">
        <f t="shared" si="731"/>
        <v>9765</v>
      </c>
      <c r="I3769" s="15">
        <f t="shared" si="735"/>
        <v>67</v>
      </c>
      <c r="J3769" s="15">
        <f t="shared" si="736"/>
        <v>25</v>
      </c>
      <c r="K3769" s="6">
        <f t="shared" si="737"/>
        <v>-64.062795197689809</v>
      </c>
      <c r="L3769" s="6">
        <f t="shared" si="738"/>
        <v>1152092.9792224697</v>
      </c>
      <c r="M3769" s="6">
        <f t="shared" si="739"/>
        <v>-193265460.83879083</v>
      </c>
      <c r="N3769" s="6" t="str">
        <f t="shared" si="740"/>
        <v/>
      </c>
      <c r="O3769" s="10"/>
    </row>
    <row r="3770" spans="1:15">
      <c r="A3770" s="11" t="s">
        <v>986</v>
      </c>
      <c r="B3770" s="6">
        <f t="shared" si="729"/>
        <v>-108.51085200824141</v>
      </c>
      <c r="C3770" s="6">
        <f t="shared" si="730"/>
        <v>5697.5095701220735</v>
      </c>
      <c r="D3770" s="6">
        <f t="shared" si="732"/>
        <v>0</v>
      </c>
      <c r="E3770" s="6">
        <f t="shared" si="733"/>
        <v>-618241.61777905549</v>
      </c>
      <c r="F3770" s="15">
        <f t="shared" si="734"/>
        <v>20</v>
      </c>
      <c r="G3770" s="23">
        <v>46</v>
      </c>
      <c r="H3770" s="15">
        <f t="shared" si="731"/>
        <v>3286</v>
      </c>
      <c r="I3770" s="15">
        <f t="shared" si="735"/>
        <v>20</v>
      </c>
      <c r="J3770" s="15">
        <f t="shared" si="736"/>
        <v>147</v>
      </c>
      <c r="K3770" s="6">
        <f t="shared" si="737"/>
        <v>-63.622821806031858</v>
      </c>
      <c r="L3770" s="6">
        <f t="shared" si="738"/>
        <v>1157188.9039272545</v>
      </c>
      <c r="M3770" s="6">
        <f t="shared" si="739"/>
        <v>-192758570.58321702</v>
      </c>
      <c r="N3770" s="6" t="str">
        <f t="shared" si="740"/>
        <v/>
      </c>
      <c r="O3770" s="10"/>
    </row>
    <row r="3771" spans="1:15">
      <c r="A3771" s="11" t="s">
        <v>987</v>
      </c>
      <c r="B3771" s="6">
        <f t="shared" si="729"/>
        <v>0</v>
      </c>
      <c r="C3771" s="6">
        <f t="shared" si="730"/>
        <v>0</v>
      </c>
      <c r="D3771" s="6">
        <f t="shared" si="732"/>
        <v>0</v>
      </c>
      <c r="E3771" s="6">
        <f t="shared" si="733"/>
        <v>0</v>
      </c>
      <c r="F3771" s="15">
        <f t="shared" si="734"/>
        <v>60</v>
      </c>
      <c r="G3771" s="23">
        <v>47</v>
      </c>
      <c r="H3771" s="15">
        <f t="shared" si="731"/>
        <v>9767</v>
      </c>
      <c r="I3771" s="15">
        <f t="shared" si="735"/>
        <v>68</v>
      </c>
      <c r="J3771" s="15">
        <f t="shared" si="736"/>
        <v>52</v>
      </c>
      <c r="K3771" s="6">
        <f t="shared" si="737"/>
        <v>-61.83912556641372</v>
      </c>
      <c r="L3771" s="6">
        <f t="shared" si="738"/>
        <v>1157188.9039272545</v>
      </c>
      <c r="M3771" s="6">
        <f t="shared" si="739"/>
        <v>-190694497.08675414</v>
      </c>
      <c r="N3771" s="6" t="str">
        <f t="shared" si="740"/>
        <v/>
      </c>
      <c r="O3771" s="10"/>
    </row>
    <row r="3772" spans="1:15">
      <c r="A3772" s="11" t="s">
        <v>988</v>
      </c>
      <c r="B3772" s="6">
        <f t="shared" si="729"/>
        <v>0</v>
      </c>
      <c r="C3772" s="6">
        <f t="shared" si="730"/>
        <v>0</v>
      </c>
      <c r="D3772" s="6">
        <f t="shared" si="732"/>
        <v>0</v>
      </c>
      <c r="E3772" s="6">
        <f t="shared" si="733"/>
        <v>0</v>
      </c>
      <c r="F3772" s="15">
        <f t="shared" si="734"/>
        <v>60</v>
      </c>
      <c r="G3772" s="23">
        <v>48</v>
      </c>
      <c r="H3772" s="15">
        <f t="shared" si="731"/>
        <v>9768</v>
      </c>
      <c r="I3772" s="15">
        <f t="shared" si="735"/>
        <v>69</v>
      </c>
      <c r="J3772" s="15">
        <f t="shared" si="736"/>
        <v>12</v>
      </c>
      <c r="K3772" s="6">
        <f t="shared" si="737"/>
        <v>-61.098722050372182</v>
      </c>
      <c r="L3772" s="6">
        <f t="shared" si="738"/>
        <v>1285742.8453395665</v>
      </c>
      <c r="M3772" s="6">
        <f t="shared" si="739"/>
        <v>-189837710.35356215</v>
      </c>
      <c r="N3772" s="6" t="str">
        <f t="shared" si="740"/>
        <v/>
      </c>
      <c r="O3772" s="10"/>
    </row>
    <row r="3773" spans="1:15">
      <c r="A3773" s="11" t="s">
        <v>989</v>
      </c>
      <c r="B3773" s="6">
        <f t="shared" si="729"/>
        <v>0</v>
      </c>
      <c r="C3773" s="6">
        <f t="shared" si="730"/>
        <v>0</v>
      </c>
      <c r="D3773" s="6">
        <f t="shared" si="732"/>
        <v>0</v>
      </c>
      <c r="E3773" s="6">
        <f t="shared" si="733"/>
        <v>0</v>
      </c>
      <c r="F3773" s="15">
        <f t="shared" si="734"/>
        <v>60</v>
      </c>
      <c r="G3773" s="23">
        <v>49</v>
      </c>
      <c r="H3773" s="15">
        <f t="shared" si="731"/>
        <v>9769</v>
      </c>
      <c r="I3773" s="15">
        <f t="shared" si="735"/>
        <v>70</v>
      </c>
      <c r="J3773" s="15">
        <f t="shared" si="736"/>
        <v>39</v>
      </c>
      <c r="K3773" s="6">
        <f t="shared" si="737"/>
        <v>-58.518933353384632</v>
      </c>
      <c r="L3773" s="6">
        <f t="shared" si="738"/>
        <v>1367811.6061033129</v>
      </c>
      <c r="M3773" s="6">
        <f t="shared" si="739"/>
        <v>-186520765.49392253</v>
      </c>
      <c r="N3773" s="6" t="str">
        <f t="shared" si="740"/>
        <v/>
      </c>
      <c r="O3773" s="10"/>
    </row>
    <row r="3774" spans="1:15">
      <c r="A3774" s="11" t="s">
        <v>990</v>
      </c>
      <c r="B3774" s="6">
        <f t="shared" si="729"/>
        <v>-66.598298769766799</v>
      </c>
      <c r="C3774" s="6">
        <f t="shared" si="730"/>
        <v>0</v>
      </c>
      <c r="D3774" s="6">
        <f t="shared" si="732"/>
        <v>0</v>
      </c>
      <c r="E3774" s="6">
        <f t="shared" si="733"/>
        <v>0</v>
      </c>
      <c r="F3774" s="15">
        <f t="shared" si="734"/>
        <v>43</v>
      </c>
      <c r="G3774" s="23">
        <v>50</v>
      </c>
      <c r="H3774" s="15">
        <f t="shared" si="731"/>
        <v>7016</v>
      </c>
      <c r="I3774" s="15">
        <f t="shared" si="735"/>
        <v>43</v>
      </c>
      <c r="J3774" s="15">
        <f t="shared" si="736"/>
        <v>148</v>
      </c>
      <c r="K3774" s="6">
        <f t="shared" si="737"/>
        <v>-50.597497627233885</v>
      </c>
      <c r="L3774" s="6">
        <f t="shared" si="738"/>
        <v>1367886.5366647914</v>
      </c>
      <c r="M3774" s="6">
        <f t="shared" si="739"/>
        <v>-175685733.77069211</v>
      </c>
      <c r="N3774" s="6" t="str">
        <f t="shared" si="740"/>
        <v/>
      </c>
      <c r="O3774" s="10"/>
    </row>
    <row r="3775" spans="1:15">
      <c r="A3775" s="11" t="s">
        <v>991</v>
      </c>
      <c r="B3775" s="6">
        <f t="shared" si="729"/>
        <v>0</v>
      </c>
      <c r="C3775" s="6">
        <f t="shared" si="730"/>
        <v>0</v>
      </c>
      <c r="D3775" s="6">
        <f t="shared" si="732"/>
        <v>0</v>
      </c>
      <c r="E3775" s="6">
        <f t="shared" si="733"/>
        <v>0</v>
      </c>
      <c r="F3775" s="15">
        <f t="shared" si="734"/>
        <v>60</v>
      </c>
      <c r="G3775" s="23">
        <v>51</v>
      </c>
      <c r="H3775" s="15">
        <f t="shared" si="731"/>
        <v>9771</v>
      </c>
      <c r="I3775" s="15">
        <f t="shared" si="735"/>
        <v>71</v>
      </c>
      <c r="J3775" s="15">
        <f t="shared" si="736"/>
        <v>13</v>
      </c>
      <c r="K3775" s="6">
        <f t="shared" si="737"/>
        <v>-49.242429461101686</v>
      </c>
      <c r="L3775" s="6">
        <f t="shared" si="738"/>
        <v>1369580.9549455205</v>
      </c>
      <c r="M3775" s="6">
        <f t="shared" si="739"/>
        <v>-173832154.26997682</v>
      </c>
      <c r="N3775" s="6" t="str">
        <f t="shared" si="740"/>
        <v/>
      </c>
      <c r="O3775" s="10"/>
    </row>
    <row r="3776" spans="1:15">
      <c r="A3776" s="11" t="s">
        <v>992</v>
      </c>
      <c r="B3776" s="6">
        <f t="shared" si="729"/>
        <v>-61.83912556641372</v>
      </c>
      <c r="C3776" s="6">
        <f t="shared" si="730"/>
        <v>0</v>
      </c>
      <c r="D3776" s="6">
        <f t="shared" si="732"/>
        <v>0</v>
      </c>
      <c r="E3776" s="6">
        <f t="shared" si="733"/>
        <v>0</v>
      </c>
      <c r="F3776" s="15">
        <f t="shared" si="734"/>
        <v>47</v>
      </c>
      <c r="G3776" s="23">
        <v>52</v>
      </c>
      <c r="H3776" s="15">
        <f t="shared" si="731"/>
        <v>7666</v>
      </c>
      <c r="I3776" s="15">
        <f t="shared" si="735"/>
        <v>47</v>
      </c>
      <c r="J3776" s="15">
        <f t="shared" si="736"/>
        <v>26</v>
      </c>
      <c r="K3776" s="6">
        <f t="shared" si="737"/>
        <v>-47.268327879795336</v>
      </c>
      <c r="L3776" s="6">
        <f t="shared" si="738"/>
        <v>1369580.9549455205</v>
      </c>
      <c r="M3776" s="6">
        <f t="shared" si="739"/>
        <v>-171128462.34109181</v>
      </c>
      <c r="N3776" s="6" t="str">
        <f t="shared" si="740"/>
        <v/>
      </c>
      <c r="O3776" s="10"/>
    </row>
    <row r="3777" spans="1:15">
      <c r="A3777" s="11" t="s">
        <v>993</v>
      </c>
      <c r="B3777" s="6">
        <f t="shared" si="729"/>
        <v>0</v>
      </c>
      <c r="C3777" s="6">
        <f t="shared" si="730"/>
        <v>0</v>
      </c>
      <c r="D3777" s="6">
        <f t="shared" si="732"/>
        <v>0</v>
      </c>
      <c r="E3777" s="6">
        <f t="shared" si="733"/>
        <v>0</v>
      </c>
      <c r="F3777" s="15">
        <f t="shared" si="734"/>
        <v>60</v>
      </c>
      <c r="G3777" s="23">
        <v>53</v>
      </c>
      <c r="H3777" s="15">
        <f t="shared" si="731"/>
        <v>9773</v>
      </c>
      <c r="I3777" s="15">
        <f t="shared" si="735"/>
        <v>72</v>
      </c>
      <c r="J3777" s="15">
        <f t="shared" si="736"/>
        <v>27</v>
      </c>
      <c r="K3777" s="6">
        <f t="shared" si="737"/>
        <v>-46.14675253681169</v>
      </c>
      <c r="L3777" s="6">
        <f t="shared" si="738"/>
        <v>1369580.9549455205</v>
      </c>
      <c r="M3777" s="6">
        <f t="shared" si="739"/>
        <v>-169592374.11180493</v>
      </c>
      <c r="N3777" s="6" t="str">
        <f t="shared" si="740"/>
        <v/>
      </c>
      <c r="O3777" s="10"/>
    </row>
    <row r="3778" spans="1:15">
      <c r="A3778" s="11" t="s">
        <v>994</v>
      </c>
      <c r="B3778" s="6">
        <f t="shared" si="729"/>
        <v>-42.001400905541232</v>
      </c>
      <c r="C3778" s="6">
        <f t="shared" si="730"/>
        <v>0</v>
      </c>
      <c r="D3778" s="6">
        <f t="shared" si="732"/>
        <v>0</v>
      </c>
      <c r="E3778" s="6">
        <f t="shared" si="733"/>
        <v>0</v>
      </c>
      <c r="F3778" s="15">
        <f t="shared" si="734"/>
        <v>55</v>
      </c>
      <c r="G3778" s="23">
        <v>54</v>
      </c>
      <c r="H3778" s="15">
        <f t="shared" si="731"/>
        <v>8964</v>
      </c>
      <c r="I3778" s="15">
        <f t="shared" si="735"/>
        <v>55</v>
      </c>
      <c r="J3778" s="15">
        <f t="shared" si="736"/>
        <v>40</v>
      </c>
      <c r="K3778" s="6">
        <f t="shared" si="737"/>
        <v>-45.23816450126828</v>
      </c>
      <c r="L3778" s="6">
        <f t="shared" si="738"/>
        <v>1370546.0668444517</v>
      </c>
      <c r="M3778" s="6">
        <f t="shared" si="739"/>
        <v>-168347989.24243331</v>
      </c>
      <c r="N3778" s="6" t="str">
        <f t="shared" si="740"/>
        <v/>
      </c>
      <c r="O3778" s="10"/>
    </row>
    <row r="3779" spans="1:15">
      <c r="A3779" s="11" t="s">
        <v>995</v>
      </c>
      <c r="B3779" s="6">
        <f t="shared" ref="B3779:B3805" si="741">D3587</f>
        <v>0</v>
      </c>
      <c r="C3779" s="6">
        <f t="shared" ref="C3779:C3805" si="742">D3635</f>
        <v>0</v>
      </c>
      <c r="D3779" s="6">
        <f t="shared" si="732"/>
        <v>0</v>
      </c>
      <c r="E3779" s="6">
        <f t="shared" si="733"/>
        <v>0</v>
      </c>
      <c r="F3779" s="15">
        <f t="shared" si="734"/>
        <v>60</v>
      </c>
      <c r="G3779" s="23">
        <v>55</v>
      </c>
      <c r="H3779" s="15">
        <f t="shared" si="731"/>
        <v>9775</v>
      </c>
      <c r="I3779" s="15">
        <f t="shared" si="735"/>
        <v>73</v>
      </c>
      <c r="J3779" s="15">
        <f t="shared" si="736"/>
        <v>54</v>
      </c>
      <c r="K3779" s="6">
        <f t="shared" si="737"/>
        <v>-42.001400905541232</v>
      </c>
      <c r="L3779" s="6">
        <f t="shared" si="738"/>
        <v>1370546.0668444517</v>
      </c>
      <c r="M3779" s="6">
        <f t="shared" si="739"/>
        <v>-163911855.6270043</v>
      </c>
      <c r="N3779" s="6" t="str">
        <f t="shared" si="740"/>
        <v/>
      </c>
      <c r="O3779" s="10"/>
    </row>
    <row r="3780" spans="1:15">
      <c r="A3780" s="11" t="s">
        <v>996</v>
      </c>
      <c r="B3780" s="6">
        <f t="shared" si="741"/>
        <v>0</v>
      </c>
      <c r="C3780" s="6">
        <f t="shared" si="742"/>
        <v>0</v>
      </c>
      <c r="D3780" s="6">
        <f t="shared" si="732"/>
        <v>0</v>
      </c>
      <c r="E3780" s="6">
        <f t="shared" si="733"/>
        <v>0</v>
      </c>
      <c r="F3780" s="15">
        <f t="shared" si="734"/>
        <v>60</v>
      </c>
      <c r="G3780" s="23">
        <v>56</v>
      </c>
      <c r="H3780" s="15">
        <f t="shared" si="731"/>
        <v>9776</v>
      </c>
      <c r="I3780" s="15">
        <f t="shared" si="735"/>
        <v>74</v>
      </c>
      <c r="J3780" s="15">
        <f t="shared" si="736"/>
        <v>149</v>
      </c>
      <c r="K3780" s="6">
        <f t="shared" si="737"/>
        <v>-40.813402053145055</v>
      </c>
      <c r="L3780" s="6">
        <f t="shared" si="738"/>
        <v>1376313.2449872692</v>
      </c>
      <c r="M3780" s="6">
        <f t="shared" si="739"/>
        <v>-162283648.47243699</v>
      </c>
      <c r="N3780" s="6" t="str">
        <f t="shared" si="740"/>
        <v/>
      </c>
      <c r="O3780" s="10"/>
    </row>
    <row r="3781" spans="1:15">
      <c r="A3781" s="11" t="s">
        <v>997</v>
      </c>
      <c r="B3781" s="6">
        <f t="shared" si="741"/>
        <v>0</v>
      </c>
      <c r="C3781" s="6">
        <f t="shared" si="742"/>
        <v>0</v>
      </c>
      <c r="D3781" s="6">
        <f t="shared" si="732"/>
        <v>0</v>
      </c>
      <c r="E3781" s="6">
        <f t="shared" si="733"/>
        <v>0</v>
      </c>
      <c r="F3781" s="15">
        <f t="shared" si="734"/>
        <v>60</v>
      </c>
      <c r="G3781" s="23">
        <v>57</v>
      </c>
      <c r="H3781" s="15">
        <f t="shared" si="731"/>
        <v>9777</v>
      </c>
      <c r="I3781" s="15">
        <f t="shared" si="735"/>
        <v>75</v>
      </c>
      <c r="J3781" s="15">
        <f t="shared" si="736"/>
        <v>14</v>
      </c>
      <c r="K3781" s="6">
        <f t="shared" si="737"/>
        <v>-40.06615045894565</v>
      </c>
      <c r="L3781" s="6">
        <f t="shared" si="738"/>
        <v>1560924.129508337</v>
      </c>
      <c r="M3781" s="6">
        <f t="shared" si="739"/>
        <v>-161255196.2060025</v>
      </c>
      <c r="N3781" s="6" t="str">
        <f t="shared" si="740"/>
        <v/>
      </c>
      <c r="O3781" s="10"/>
    </row>
    <row r="3782" spans="1:15">
      <c r="A3782" s="11" t="s">
        <v>998</v>
      </c>
      <c r="B3782" s="6">
        <f t="shared" si="741"/>
        <v>0</v>
      </c>
      <c r="C3782" s="6">
        <f t="shared" si="742"/>
        <v>0</v>
      </c>
      <c r="D3782" s="6">
        <f t="shared" si="732"/>
        <v>0</v>
      </c>
      <c r="E3782" s="6">
        <f t="shared" si="733"/>
        <v>0</v>
      </c>
      <c r="F3782" s="15">
        <f t="shared" si="734"/>
        <v>60</v>
      </c>
      <c r="G3782" s="23">
        <v>58</v>
      </c>
      <c r="H3782" s="15">
        <f t="shared" si="731"/>
        <v>9778</v>
      </c>
      <c r="I3782" s="15">
        <f t="shared" si="735"/>
        <v>76</v>
      </c>
      <c r="J3782" s="15">
        <f t="shared" si="736"/>
        <v>9</v>
      </c>
      <c r="K3782" s="6">
        <f t="shared" si="737"/>
        <v>-39.007267846342323</v>
      </c>
      <c r="L3782" s="6">
        <f t="shared" si="738"/>
        <v>1561085.6032344718</v>
      </c>
      <c r="M3782" s="6">
        <f t="shared" si="739"/>
        <v>-159602360.78567314</v>
      </c>
      <c r="N3782" s="6" t="str">
        <f t="shared" si="740"/>
        <v/>
      </c>
      <c r="O3782" s="10"/>
    </row>
    <row r="3783" spans="1:15">
      <c r="A3783" s="11" t="s">
        <v>999</v>
      </c>
      <c r="B3783" s="6">
        <f t="shared" si="741"/>
        <v>0</v>
      </c>
      <c r="C3783" s="6">
        <f t="shared" si="742"/>
        <v>0</v>
      </c>
      <c r="D3783" s="6">
        <f t="shared" si="732"/>
        <v>0</v>
      </c>
      <c r="E3783" s="6">
        <f t="shared" si="733"/>
        <v>0</v>
      </c>
      <c r="F3783" s="15">
        <f t="shared" si="734"/>
        <v>60</v>
      </c>
      <c r="G3783" s="23">
        <v>59</v>
      </c>
      <c r="H3783" s="15">
        <f t="shared" si="731"/>
        <v>9779</v>
      </c>
      <c r="I3783" s="15">
        <f t="shared" si="735"/>
        <v>77</v>
      </c>
      <c r="J3783" s="15">
        <f t="shared" si="736"/>
        <v>41</v>
      </c>
      <c r="K3783" s="6">
        <f t="shared" si="737"/>
        <v>-35.914954785107639</v>
      </c>
      <c r="L3783" s="6">
        <f t="shared" si="738"/>
        <v>1673474.9414748859</v>
      </c>
      <c r="M3783" s="6">
        <f t="shared" si="739"/>
        <v>-154774995.38508576</v>
      </c>
      <c r="N3783" s="6" t="str">
        <f t="shared" si="740"/>
        <v/>
      </c>
      <c r="O3783" s="10"/>
    </row>
    <row r="3784" spans="1:15">
      <c r="A3784" s="11" t="s">
        <v>1000</v>
      </c>
      <c r="B3784" s="6">
        <f t="shared" si="741"/>
        <v>0</v>
      </c>
      <c r="C3784" s="6">
        <f t="shared" si="742"/>
        <v>0</v>
      </c>
      <c r="D3784" s="6">
        <f t="shared" si="732"/>
        <v>0</v>
      </c>
      <c r="E3784" s="6">
        <f t="shared" si="733"/>
        <v>0</v>
      </c>
      <c r="F3784" s="15">
        <f t="shared" si="734"/>
        <v>60</v>
      </c>
      <c r="G3784" s="23">
        <v>60</v>
      </c>
      <c r="H3784" s="15">
        <f t="shared" si="731"/>
        <v>9780</v>
      </c>
      <c r="I3784" s="15">
        <f t="shared" si="735"/>
        <v>78</v>
      </c>
      <c r="J3784" s="15">
        <f t="shared" si="736"/>
        <v>28</v>
      </c>
      <c r="K3784" s="6">
        <f t="shared" si="737"/>
        <v>0</v>
      </c>
      <c r="L3784" s="6">
        <f t="shared" si="738"/>
        <v>1673474.9414748859</v>
      </c>
      <c r="M3784" s="6">
        <f t="shared" si="739"/>
        <v>-94672218.528004587</v>
      </c>
      <c r="N3784" s="6" t="str">
        <f t="shared" si="740"/>
        <v/>
      </c>
      <c r="O3784" s="10"/>
    </row>
    <row r="3785" spans="1:15">
      <c r="A3785" s="11" t="s">
        <v>1001</v>
      </c>
      <c r="B3785" s="6">
        <f t="shared" si="741"/>
        <v>0</v>
      </c>
      <c r="C3785" s="6">
        <f t="shared" si="742"/>
        <v>0</v>
      </c>
      <c r="D3785" s="6">
        <f t="shared" si="732"/>
        <v>0</v>
      </c>
      <c r="E3785" s="6">
        <f t="shared" si="733"/>
        <v>0</v>
      </c>
      <c r="F3785" s="15">
        <f t="shared" si="734"/>
        <v>60</v>
      </c>
      <c r="G3785" s="23">
        <v>61</v>
      </c>
      <c r="H3785" s="15">
        <f t="shared" si="731"/>
        <v>9781</v>
      </c>
      <c r="I3785" s="15">
        <f t="shared" si="735"/>
        <v>79</v>
      </c>
      <c r="J3785" s="15">
        <f t="shared" si="736"/>
        <v>30</v>
      </c>
      <c r="K3785" s="6">
        <f t="shared" si="737"/>
        <v>0</v>
      </c>
      <c r="L3785" s="6">
        <f t="shared" si="738"/>
        <v>1673474.9414748859</v>
      </c>
      <c r="M3785" s="6">
        <f t="shared" si="739"/>
        <v>-94672218.528004587</v>
      </c>
      <c r="N3785" s="6" t="str">
        <f t="shared" si="740"/>
        <v/>
      </c>
      <c r="O3785" s="10"/>
    </row>
    <row r="3786" spans="1:15">
      <c r="A3786" s="11" t="s">
        <v>1002</v>
      </c>
      <c r="B3786" s="6">
        <f t="shared" si="741"/>
        <v>0</v>
      </c>
      <c r="C3786" s="6">
        <f t="shared" si="742"/>
        <v>0</v>
      </c>
      <c r="D3786" s="6">
        <f t="shared" si="732"/>
        <v>0</v>
      </c>
      <c r="E3786" s="6">
        <f t="shared" si="733"/>
        <v>0</v>
      </c>
      <c r="F3786" s="15">
        <f t="shared" si="734"/>
        <v>60</v>
      </c>
      <c r="G3786" s="23">
        <v>62</v>
      </c>
      <c r="H3786" s="15">
        <f t="shared" si="731"/>
        <v>9782</v>
      </c>
      <c r="I3786" s="15">
        <f t="shared" si="735"/>
        <v>80</v>
      </c>
      <c r="J3786" s="15">
        <f t="shared" si="736"/>
        <v>31</v>
      </c>
      <c r="K3786" s="6">
        <f t="shared" si="737"/>
        <v>0</v>
      </c>
      <c r="L3786" s="6">
        <f t="shared" si="738"/>
        <v>1673474.9414748859</v>
      </c>
      <c r="M3786" s="6">
        <f t="shared" si="739"/>
        <v>-94672218.528004587</v>
      </c>
      <c r="N3786" s="6" t="str">
        <f t="shared" si="740"/>
        <v/>
      </c>
      <c r="O3786" s="10"/>
    </row>
    <row r="3787" spans="1:15">
      <c r="A3787" s="11" t="s">
        <v>1003</v>
      </c>
      <c r="B3787" s="6">
        <f t="shared" si="741"/>
        <v>0</v>
      </c>
      <c r="C3787" s="6">
        <f t="shared" si="742"/>
        <v>0</v>
      </c>
      <c r="D3787" s="6">
        <f t="shared" si="732"/>
        <v>0</v>
      </c>
      <c r="E3787" s="6">
        <f t="shared" si="733"/>
        <v>0</v>
      </c>
      <c r="F3787" s="15">
        <f t="shared" si="734"/>
        <v>60</v>
      </c>
      <c r="G3787" s="23">
        <v>63</v>
      </c>
      <c r="H3787" s="15">
        <f t="shared" si="731"/>
        <v>9783</v>
      </c>
      <c r="I3787" s="15">
        <f t="shared" si="735"/>
        <v>81</v>
      </c>
      <c r="J3787" s="15">
        <f t="shared" si="736"/>
        <v>33</v>
      </c>
      <c r="K3787" s="6">
        <f t="shared" si="737"/>
        <v>0</v>
      </c>
      <c r="L3787" s="6">
        <f t="shared" si="738"/>
        <v>1673474.9414748859</v>
      </c>
      <c r="M3787" s="6">
        <f t="shared" si="739"/>
        <v>-94672218.528004587</v>
      </c>
      <c r="N3787" s="6" t="str">
        <f t="shared" si="740"/>
        <v/>
      </c>
      <c r="O3787" s="10"/>
    </row>
    <row r="3788" spans="1:15">
      <c r="A3788" s="11" t="s">
        <v>1004</v>
      </c>
      <c r="B3788" s="6">
        <f t="shared" si="741"/>
        <v>-688.37372615740571</v>
      </c>
      <c r="C3788" s="6">
        <f t="shared" si="742"/>
        <v>0</v>
      </c>
      <c r="D3788" s="6">
        <f t="shared" si="732"/>
        <v>0</v>
      </c>
      <c r="E3788" s="6">
        <f t="shared" si="733"/>
        <v>0</v>
      </c>
      <c r="F3788" s="15">
        <f t="shared" si="734"/>
        <v>2</v>
      </c>
      <c r="G3788" s="23">
        <v>64</v>
      </c>
      <c r="H3788" s="15">
        <f t="shared" ref="H3788:H3819" si="743">F3788*162+G3788</f>
        <v>388</v>
      </c>
      <c r="I3788" s="15">
        <f t="shared" si="735"/>
        <v>2</v>
      </c>
      <c r="J3788" s="15">
        <f t="shared" si="736"/>
        <v>42</v>
      </c>
      <c r="K3788" s="6">
        <f t="shared" si="737"/>
        <v>0</v>
      </c>
      <c r="L3788" s="6">
        <f t="shared" si="738"/>
        <v>1673474.9414748859</v>
      </c>
      <c r="M3788" s="6">
        <f t="shared" si="739"/>
        <v>-94672218.528004587</v>
      </c>
      <c r="N3788" s="6" t="str">
        <f t="shared" si="740"/>
        <v/>
      </c>
      <c r="O3788" s="10"/>
    </row>
    <row r="3789" spans="1:15">
      <c r="A3789" s="11" t="s">
        <v>1005</v>
      </c>
      <c r="B3789" s="6">
        <f t="shared" si="741"/>
        <v>-686.73198863211985</v>
      </c>
      <c r="C3789" s="6">
        <f t="shared" si="742"/>
        <v>0</v>
      </c>
      <c r="D3789" s="6">
        <f t="shared" ref="D3789:D3820" si="744">IF(ISERROR(B3789),C3789,0)</f>
        <v>0</v>
      </c>
      <c r="E3789" s="6">
        <f t="shared" ref="E3789:E3820" si="745">MAX($B$3689,B3789)*C3789</f>
        <v>0</v>
      </c>
      <c r="F3789" s="15">
        <f t="shared" ref="F3789:F3820" si="746">RANK(B3789,B$3725:B$3886,1)</f>
        <v>3</v>
      </c>
      <c r="G3789" s="23">
        <v>65</v>
      </c>
      <c r="H3789" s="15">
        <f t="shared" si="743"/>
        <v>551</v>
      </c>
      <c r="I3789" s="15">
        <f t="shared" ref="I3789:I3820" si="747">RANK(H3789,H$3725:H$3886,1)</f>
        <v>3</v>
      </c>
      <c r="J3789" s="15">
        <f t="shared" ref="J3789:J3820" si="748">MATCH(G3789,I$3725:I$3886,0)</f>
        <v>43</v>
      </c>
      <c r="K3789" s="6">
        <f t="shared" ref="K3789:K3820" si="749">INDEX(B$3725:B$3886,J3789,1)</f>
        <v>0</v>
      </c>
      <c r="L3789" s="6">
        <f t="shared" ref="L3789:L3820" si="750">L3788+INDEX(C$3725:C$3886,J3789,1)</f>
        <v>1673474.9414748859</v>
      </c>
      <c r="M3789" s="6">
        <f t="shared" ref="M3789:M3820" si="751">M3788+(K3789-K3788)*L3788</f>
        <v>-94672218.528004587</v>
      </c>
      <c r="N3789" s="6" t="str">
        <f t="shared" ref="N3789:N3820" si="752">IF((M3788&gt;0)=(M3789&gt;0),"",K3789-M3789/L3788)</f>
        <v/>
      </c>
      <c r="O3789" s="10"/>
    </row>
    <row r="3790" spans="1:15">
      <c r="A3790" s="11" t="s">
        <v>1006</v>
      </c>
      <c r="B3790" s="6">
        <f t="shared" si="741"/>
        <v>-603.8758893762863</v>
      </c>
      <c r="C3790" s="6">
        <f t="shared" si="742"/>
        <v>917.7084924826903</v>
      </c>
      <c r="D3790" s="6">
        <f t="shared" si="744"/>
        <v>0</v>
      </c>
      <c r="E3790" s="6">
        <f t="shared" si="745"/>
        <v>-554182.03208615561</v>
      </c>
      <c r="F3790" s="15">
        <f t="shared" si="746"/>
        <v>6</v>
      </c>
      <c r="G3790" s="23">
        <v>66</v>
      </c>
      <c r="H3790" s="15">
        <f t="shared" si="743"/>
        <v>1038</v>
      </c>
      <c r="I3790" s="15">
        <f t="shared" si="747"/>
        <v>6</v>
      </c>
      <c r="J3790" s="15">
        <f t="shared" si="748"/>
        <v>44</v>
      </c>
      <c r="K3790" s="6">
        <f t="shared" si="749"/>
        <v>0</v>
      </c>
      <c r="L3790" s="6">
        <f t="shared" si="750"/>
        <v>1673474.9414748859</v>
      </c>
      <c r="M3790" s="6">
        <f t="shared" si="751"/>
        <v>-94672218.528004587</v>
      </c>
      <c r="N3790" s="6" t="str">
        <f t="shared" si="752"/>
        <v/>
      </c>
      <c r="O3790" s="10"/>
    </row>
    <row r="3791" spans="1:15">
      <c r="A3791" s="11" t="s">
        <v>1007</v>
      </c>
      <c r="B3791" s="6">
        <f t="shared" si="741"/>
        <v>-490.31001224892947</v>
      </c>
      <c r="C3791" s="6">
        <f t="shared" si="742"/>
        <v>10.867478092814203</v>
      </c>
      <c r="D3791" s="6">
        <f t="shared" si="744"/>
        <v>0</v>
      </c>
      <c r="E3791" s="6">
        <f t="shared" si="745"/>
        <v>-5328.4333168027042</v>
      </c>
      <c r="F3791" s="15">
        <f t="shared" si="746"/>
        <v>9</v>
      </c>
      <c r="G3791" s="23">
        <v>67</v>
      </c>
      <c r="H3791" s="15">
        <f t="shared" si="743"/>
        <v>1525</v>
      </c>
      <c r="I3791" s="15">
        <f t="shared" si="747"/>
        <v>9</v>
      </c>
      <c r="J3791" s="15">
        <f t="shared" si="748"/>
        <v>45</v>
      </c>
      <c r="K3791" s="6">
        <f t="shared" si="749"/>
        <v>0</v>
      </c>
      <c r="L3791" s="6">
        <f t="shared" si="750"/>
        <v>1673474.9414748859</v>
      </c>
      <c r="M3791" s="6">
        <f t="shared" si="751"/>
        <v>-94672218.528004587</v>
      </c>
      <c r="N3791" s="6" t="str">
        <f t="shared" si="752"/>
        <v/>
      </c>
      <c r="O3791" s="10"/>
    </row>
    <row r="3792" spans="1:15">
      <c r="A3792" s="11" t="s">
        <v>1008</v>
      </c>
      <c r="B3792" s="6">
        <f t="shared" si="741"/>
        <v>-394.32549326655555</v>
      </c>
      <c r="C3792" s="6">
        <f t="shared" si="742"/>
        <v>1593.6134966209988</v>
      </c>
      <c r="D3792" s="6">
        <f t="shared" si="744"/>
        <v>0</v>
      </c>
      <c r="E3792" s="6">
        <f t="shared" si="745"/>
        <v>-628402.42813131574</v>
      </c>
      <c r="F3792" s="15">
        <f t="shared" si="746"/>
        <v>11</v>
      </c>
      <c r="G3792" s="23">
        <v>68</v>
      </c>
      <c r="H3792" s="15">
        <f t="shared" si="743"/>
        <v>1850</v>
      </c>
      <c r="I3792" s="15">
        <f t="shared" si="747"/>
        <v>11</v>
      </c>
      <c r="J3792" s="15">
        <f t="shared" si="748"/>
        <v>47</v>
      </c>
      <c r="K3792" s="6">
        <f t="shared" si="749"/>
        <v>0</v>
      </c>
      <c r="L3792" s="6">
        <f t="shared" si="750"/>
        <v>1673474.9414748859</v>
      </c>
      <c r="M3792" s="6">
        <f t="shared" si="751"/>
        <v>-94672218.528004587</v>
      </c>
      <c r="N3792" s="6" t="str">
        <f t="shared" si="752"/>
        <v/>
      </c>
      <c r="O3792" s="10"/>
    </row>
    <row r="3793" spans="1:15">
      <c r="A3793" s="11" t="s">
        <v>1009</v>
      </c>
      <c r="B3793" s="6">
        <f t="shared" si="741"/>
        <v>0</v>
      </c>
      <c r="C3793" s="6">
        <f t="shared" si="742"/>
        <v>0</v>
      </c>
      <c r="D3793" s="6">
        <f t="shared" si="744"/>
        <v>0</v>
      </c>
      <c r="E3793" s="6">
        <f t="shared" si="745"/>
        <v>0</v>
      </c>
      <c r="F3793" s="15">
        <f t="shared" si="746"/>
        <v>60</v>
      </c>
      <c r="G3793" s="23">
        <v>69</v>
      </c>
      <c r="H3793" s="15">
        <f t="shared" si="743"/>
        <v>9789</v>
      </c>
      <c r="I3793" s="15">
        <f t="shared" si="747"/>
        <v>82</v>
      </c>
      <c r="J3793" s="15">
        <f t="shared" si="748"/>
        <v>48</v>
      </c>
      <c r="K3793" s="6">
        <f t="shared" si="749"/>
        <v>0</v>
      </c>
      <c r="L3793" s="6">
        <f t="shared" si="750"/>
        <v>1673474.9414748859</v>
      </c>
      <c r="M3793" s="6">
        <f t="shared" si="751"/>
        <v>-94672218.528004587</v>
      </c>
      <c r="N3793" s="6" t="str">
        <f t="shared" si="752"/>
        <v/>
      </c>
      <c r="O3793" s="10"/>
    </row>
    <row r="3794" spans="1:15">
      <c r="A3794" s="11" t="s">
        <v>1010</v>
      </c>
      <c r="B3794" s="6">
        <f t="shared" si="741"/>
        <v>0</v>
      </c>
      <c r="C3794" s="6">
        <f t="shared" si="742"/>
        <v>0</v>
      </c>
      <c r="D3794" s="6">
        <f t="shared" si="744"/>
        <v>0</v>
      </c>
      <c r="E3794" s="6">
        <f t="shared" si="745"/>
        <v>0</v>
      </c>
      <c r="F3794" s="15">
        <f t="shared" si="746"/>
        <v>60</v>
      </c>
      <c r="G3794" s="23">
        <v>70</v>
      </c>
      <c r="H3794" s="15">
        <f t="shared" si="743"/>
        <v>9790</v>
      </c>
      <c r="I3794" s="15">
        <f t="shared" si="747"/>
        <v>83</v>
      </c>
      <c r="J3794" s="15">
        <f t="shared" si="748"/>
        <v>49</v>
      </c>
      <c r="K3794" s="6">
        <f t="shared" si="749"/>
        <v>0</v>
      </c>
      <c r="L3794" s="6">
        <f t="shared" si="750"/>
        <v>1673474.9414748859</v>
      </c>
      <c r="M3794" s="6">
        <f t="shared" si="751"/>
        <v>-94672218.528004587</v>
      </c>
      <c r="N3794" s="6" t="str">
        <f t="shared" si="752"/>
        <v/>
      </c>
      <c r="O3794" s="10"/>
    </row>
    <row r="3795" spans="1:15">
      <c r="A3795" s="11" t="s">
        <v>1011</v>
      </c>
      <c r="B3795" s="6">
        <f t="shared" si="741"/>
        <v>0</v>
      </c>
      <c r="C3795" s="6">
        <f t="shared" si="742"/>
        <v>0</v>
      </c>
      <c r="D3795" s="6">
        <f t="shared" si="744"/>
        <v>0</v>
      </c>
      <c r="E3795" s="6">
        <f t="shared" si="745"/>
        <v>0</v>
      </c>
      <c r="F3795" s="15">
        <f t="shared" si="746"/>
        <v>60</v>
      </c>
      <c r="G3795" s="23">
        <v>71</v>
      </c>
      <c r="H3795" s="15">
        <f t="shared" si="743"/>
        <v>9791</v>
      </c>
      <c r="I3795" s="15">
        <f t="shared" si="747"/>
        <v>84</v>
      </c>
      <c r="J3795" s="15">
        <f t="shared" si="748"/>
        <v>51</v>
      </c>
      <c r="K3795" s="6">
        <f t="shared" si="749"/>
        <v>0</v>
      </c>
      <c r="L3795" s="6">
        <f t="shared" si="750"/>
        <v>1673474.9414748859</v>
      </c>
      <c r="M3795" s="6">
        <f t="shared" si="751"/>
        <v>-94672218.528004587</v>
      </c>
      <c r="N3795" s="6" t="str">
        <f t="shared" si="752"/>
        <v/>
      </c>
      <c r="O3795" s="10"/>
    </row>
    <row r="3796" spans="1:15">
      <c r="A3796" s="11" t="s">
        <v>1012</v>
      </c>
      <c r="B3796" s="6">
        <f t="shared" si="741"/>
        <v>0</v>
      </c>
      <c r="C3796" s="6">
        <f t="shared" si="742"/>
        <v>0</v>
      </c>
      <c r="D3796" s="6">
        <f t="shared" si="744"/>
        <v>0</v>
      </c>
      <c r="E3796" s="6">
        <f t="shared" si="745"/>
        <v>0</v>
      </c>
      <c r="F3796" s="15">
        <f t="shared" si="746"/>
        <v>60</v>
      </c>
      <c r="G3796" s="23">
        <v>72</v>
      </c>
      <c r="H3796" s="15">
        <f t="shared" si="743"/>
        <v>9792</v>
      </c>
      <c r="I3796" s="15">
        <f t="shared" si="747"/>
        <v>85</v>
      </c>
      <c r="J3796" s="15">
        <f t="shared" si="748"/>
        <v>53</v>
      </c>
      <c r="K3796" s="6">
        <f t="shared" si="749"/>
        <v>0</v>
      </c>
      <c r="L3796" s="6">
        <f t="shared" si="750"/>
        <v>1673474.9414748859</v>
      </c>
      <c r="M3796" s="6">
        <f t="shared" si="751"/>
        <v>-94672218.528004587</v>
      </c>
      <c r="N3796" s="6" t="str">
        <f t="shared" si="752"/>
        <v/>
      </c>
      <c r="O3796" s="10"/>
    </row>
    <row r="3797" spans="1:15">
      <c r="A3797" s="11" t="s">
        <v>1013</v>
      </c>
      <c r="B3797" s="6">
        <f t="shared" si="741"/>
        <v>-5872.6400863349299</v>
      </c>
      <c r="C3797" s="6">
        <f t="shared" si="742"/>
        <v>168.44247220824005</v>
      </c>
      <c r="D3797" s="6">
        <f t="shared" si="744"/>
        <v>0</v>
      </c>
      <c r="E3797" s="6">
        <f t="shared" si="745"/>
        <v>-989202.01453146792</v>
      </c>
      <c r="F3797" s="15">
        <f t="shared" si="746"/>
        <v>1</v>
      </c>
      <c r="G3797" s="23">
        <v>73</v>
      </c>
      <c r="H3797" s="15">
        <f t="shared" si="743"/>
        <v>235</v>
      </c>
      <c r="I3797" s="15">
        <f t="shared" si="747"/>
        <v>1</v>
      </c>
      <c r="J3797" s="15">
        <f t="shared" si="748"/>
        <v>55</v>
      </c>
      <c r="K3797" s="6">
        <f t="shared" si="749"/>
        <v>0</v>
      </c>
      <c r="L3797" s="6">
        <f t="shared" si="750"/>
        <v>1673474.9414748859</v>
      </c>
      <c r="M3797" s="6">
        <f t="shared" si="751"/>
        <v>-94672218.528004587</v>
      </c>
      <c r="N3797" s="6" t="str">
        <f t="shared" si="752"/>
        <v/>
      </c>
      <c r="O3797" s="10"/>
    </row>
    <row r="3798" spans="1:15">
      <c r="A3798" s="11" t="s">
        <v>1014</v>
      </c>
      <c r="B3798" s="6">
        <f t="shared" si="741"/>
        <v>0</v>
      </c>
      <c r="C3798" s="6">
        <f t="shared" si="742"/>
        <v>0</v>
      </c>
      <c r="D3798" s="6">
        <f t="shared" si="744"/>
        <v>0</v>
      </c>
      <c r="E3798" s="6">
        <f t="shared" si="745"/>
        <v>0</v>
      </c>
      <c r="F3798" s="15">
        <f t="shared" si="746"/>
        <v>60</v>
      </c>
      <c r="G3798" s="23">
        <v>74</v>
      </c>
      <c r="H3798" s="15">
        <f t="shared" si="743"/>
        <v>9794</v>
      </c>
      <c r="I3798" s="15">
        <f t="shared" si="747"/>
        <v>86</v>
      </c>
      <c r="J3798" s="15">
        <f t="shared" si="748"/>
        <v>56</v>
      </c>
      <c r="K3798" s="6">
        <f t="shared" si="749"/>
        <v>0</v>
      </c>
      <c r="L3798" s="6">
        <f t="shared" si="750"/>
        <v>1673474.9414748859</v>
      </c>
      <c r="M3798" s="6">
        <f t="shared" si="751"/>
        <v>-94672218.528004587</v>
      </c>
      <c r="N3798" s="6" t="str">
        <f t="shared" si="752"/>
        <v/>
      </c>
      <c r="O3798" s="10"/>
    </row>
    <row r="3799" spans="1:15">
      <c r="A3799" s="11" t="s">
        <v>1015</v>
      </c>
      <c r="B3799" s="6">
        <f t="shared" si="741"/>
        <v>0</v>
      </c>
      <c r="C3799" s="6">
        <f t="shared" si="742"/>
        <v>0</v>
      </c>
      <c r="D3799" s="6">
        <f t="shared" si="744"/>
        <v>0</v>
      </c>
      <c r="E3799" s="6">
        <f t="shared" si="745"/>
        <v>0</v>
      </c>
      <c r="F3799" s="15">
        <f t="shared" si="746"/>
        <v>60</v>
      </c>
      <c r="G3799" s="23">
        <v>75</v>
      </c>
      <c r="H3799" s="15">
        <f t="shared" si="743"/>
        <v>9795</v>
      </c>
      <c r="I3799" s="15">
        <f t="shared" si="747"/>
        <v>87</v>
      </c>
      <c r="J3799" s="15">
        <f t="shared" si="748"/>
        <v>57</v>
      </c>
      <c r="K3799" s="6">
        <f t="shared" si="749"/>
        <v>0</v>
      </c>
      <c r="L3799" s="6">
        <f t="shared" si="750"/>
        <v>1673474.9414748859</v>
      </c>
      <c r="M3799" s="6">
        <f t="shared" si="751"/>
        <v>-94672218.528004587</v>
      </c>
      <c r="N3799" s="6" t="str">
        <f t="shared" si="752"/>
        <v/>
      </c>
      <c r="O3799" s="10"/>
    </row>
    <row r="3800" spans="1:15">
      <c r="A3800" s="11" t="s">
        <v>1016</v>
      </c>
      <c r="B3800" s="6">
        <f t="shared" si="741"/>
        <v>0</v>
      </c>
      <c r="C3800" s="6">
        <f t="shared" si="742"/>
        <v>0</v>
      </c>
      <c r="D3800" s="6">
        <f t="shared" si="744"/>
        <v>0</v>
      </c>
      <c r="E3800" s="6">
        <f t="shared" si="745"/>
        <v>0</v>
      </c>
      <c r="F3800" s="15">
        <f t="shared" si="746"/>
        <v>60</v>
      </c>
      <c r="G3800" s="23">
        <v>76</v>
      </c>
      <c r="H3800" s="15">
        <f t="shared" si="743"/>
        <v>9796</v>
      </c>
      <c r="I3800" s="15">
        <f t="shared" si="747"/>
        <v>88</v>
      </c>
      <c r="J3800" s="15">
        <f t="shared" si="748"/>
        <v>58</v>
      </c>
      <c r="K3800" s="6">
        <f t="shared" si="749"/>
        <v>0</v>
      </c>
      <c r="L3800" s="6">
        <f t="shared" si="750"/>
        <v>1673474.9414748859</v>
      </c>
      <c r="M3800" s="6">
        <f t="shared" si="751"/>
        <v>-94672218.528004587</v>
      </c>
      <c r="N3800" s="6" t="str">
        <f t="shared" si="752"/>
        <v/>
      </c>
      <c r="O3800" s="10"/>
    </row>
    <row r="3801" spans="1:15">
      <c r="A3801" s="11" t="s">
        <v>1017</v>
      </c>
      <c r="B3801" s="6">
        <f t="shared" si="741"/>
        <v>-672.96377354630999</v>
      </c>
      <c r="C3801" s="6">
        <f t="shared" si="742"/>
        <v>0</v>
      </c>
      <c r="D3801" s="6">
        <f t="shared" si="744"/>
        <v>0</v>
      </c>
      <c r="E3801" s="6">
        <f t="shared" si="745"/>
        <v>0</v>
      </c>
      <c r="F3801" s="15">
        <f t="shared" si="746"/>
        <v>4</v>
      </c>
      <c r="G3801" s="23">
        <v>77</v>
      </c>
      <c r="H3801" s="15">
        <f t="shared" si="743"/>
        <v>725</v>
      </c>
      <c r="I3801" s="15">
        <f t="shared" si="747"/>
        <v>4</v>
      </c>
      <c r="J3801" s="15">
        <f t="shared" si="748"/>
        <v>59</v>
      </c>
      <c r="K3801" s="6">
        <f t="shared" si="749"/>
        <v>0</v>
      </c>
      <c r="L3801" s="6">
        <f t="shared" si="750"/>
        <v>1673474.9414748859</v>
      </c>
      <c r="M3801" s="6">
        <f t="shared" si="751"/>
        <v>-94672218.528004587</v>
      </c>
      <c r="N3801" s="6" t="str">
        <f t="shared" si="752"/>
        <v/>
      </c>
      <c r="O3801" s="10"/>
    </row>
    <row r="3802" spans="1:15">
      <c r="A3802" s="11" t="s">
        <v>1018</v>
      </c>
      <c r="B3802" s="6">
        <f t="shared" si="741"/>
        <v>0</v>
      </c>
      <c r="C3802" s="6">
        <f t="shared" si="742"/>
        <v>0</v>
      </c>
      <c r="D3802" s="6">
        <f t="shared" si="744"/>
        <v>0</v>
      </c>
      <c r="E3802" s="6">
        <f t="shared" si="745"/>
        <v>0</v>
      </c>
      <c r="F3802" s="15">
        <f t="shared" si="746"/>
        <v>60</v>
      </c>
      <c r="G3802" s="23">
        <v>78</v>
      </c>
      <c r="H3802" s="15">
        <f t="shared" si="743"/>
        <v>9798</v>
      </c>
      <c r="I3802" s="15">
        <f t="shared" si="747"/>
        <v>89</v>
      </c>
      <c r="J3802" s="15">
        <f t="shared" si="748"/>
        <v>60</v>
      </c>
      <c r="K3802" s="6">
        <f t="shared" si="749"/>
        <v>0</v>
      </c>
      <c r="L3802" s="6">
        <f t="shared" si="750"/>
        <v>1673474.9414748859</v>
      </c>
      <c r="M3802" s="6">
        <f t="shared" si="751"/>
        <v>-94672218.528004587</v>
      </c>
      <c r="N3802" s="6" t="str">
        <f t="shared" si="752"/>
        <v/>
      </c>
      <c r="O3802" s="10"/>
    </row>
    <row r="3803" spans="1:15">
      <c r="A3803" s="11" t="s">
        <v>1019</v>
      </c>
      <c r="B3803" s="6">
        <f t="shared" si="741"/>
        <v>-632.26735865812554</v>
      </c>
      <c r="C3803" s="6">
        <f t="shared" si="742"/>
        <v>0</v>
      </c>
      <c r="D3803" s="6">
        <f t="shared" si="744"/>
        <v>0</v>
      </c>
      <c r="E3803" s="6">
        <f t="shared" si="745"/>
        <v>0</v>
      </c>
      <c r="F3803" s="15">
        <f t="shared" si="746"/>
        <v>5</v>
      </c>
      <c r="G3803" s="23">
        <v>79</v>
      </c>
      <c r="H3803" s="15">
        <f t="shared" si="743"/>
        <v>889</v>
      </c>
      <c r="I3803" s="15">
        <f t="shared" si="747"/>
        <v>5</v>
      </c>
      <c r="J3803" s="15">
        <f t="shared" si="748"/>
        <v>61</v>
      </c>
      <c r="K3803" s="6">
        <f t="shared" si="749"/>
        <v>0</v>
      </c>
      <c r="L3803" s="6">
        <f t="shared" si="750"/>
        <v>1673474.9414748859</v>
      </c>
      <c r="M3803" s="6">
        <f t="shared" si="751"/>
        <v>-94672218.528004587</v>
      </c>
      <c r="N3803" s="6" t="str">
        <f t="shared" si="752"/>
        <v/>
      </c>
      <c r="O3803" s="10"/>
    </row>
    <row r="3804" spans="1:15">
      <c r="A3804" s="11" t="s">
        <v>1020</v>
      </c>
      <c r="B3804" s="6">
        <f t="shared" si="741"/>
        <v>0</v>
      </c>
      <c r="C3804" s="6">
        <f t="shared" si="742"/>
        <v>0</v>
      </c>
      <c r="D3804" s="6">
        <f t="shared" si="744"/>
        <v>0</v>
      </c>
      <c r="E3804" s="6">
        <f t="shared" si="745"/>
        <v>0</v>
      </c>
      <c r="F3804" s="15">
        <f t="shared" si="746"/>
        <v>60</v>
      </c>
      <c r="G3804" s="23">
        <v>80</v>
      </c>
      <c r="H3804" s="15">
        <f t="shared" si="743"/>
        <v>9800</v>
      </c>
      <c r="I3804" s="15">
        <f t="shared" si="747"/>
        <v>90</v>
      </c>
      <c r="J3804" s="15">
        <f t="shared" si="748"/>
        <v>62</v>
      </c>
      <c r="K3804" s="6">
        <f t="shared" si="749"/>
        <v>0</v>
      </c>
      <c r="L3804" s="6">
        <f t="shared" si="750"/>
        <v>1673474.9414748859</v>
      </c>
      <c r="M3804" s="6">
        <f t="shared" si="751"/>
        <v>-94672218.528004587</v>
      </c>
      <c r="N3804" s="6" t="str">
        <f t="shared" si="752"/>
        <v/>
      </c>
      <c r="O3804" s="10"/>
    </row>
    <row r="3805" spans="1:15">
      <c r="A3805" s="11" t="s">
        <v>1021</v>
      </c>
      <c r="B3805" s="6">
        <f t="shared" si="741"/>
        <v>-458.70376544667505</v>
      </c>
      <c r="C3805" s="6">
        <f t="shared" si="742"/>
        <v>0</v>
      </c>
      <c r="D3805" s="6">
        <f t="shared" si="744"/>
        <v>0</v>
      </c>
      <c r="E3805" s="6">
        <f t="shared" si="745"/>
        <v>0</v>
      </c>
      <c r="F3805" s="15">
        <f t="shared" si="746"/>
        <v>10</v>
      </c>
      <c r="G3805" s="23">
        <v>81</v>
      </c>
      <c r="H3805" s="15">
        <f t="shared" si="743"/>
        <v>1701</v>
      </c>
      <c r="I3805" s="15">
        <f t="shared" si="747"/>
        <v>10</v>
      </c>
      <c r="J3805" s="15">
        <f t="shared" si="748"/>
        <v>63</v>
      </c>
      <c r="K3805" s="6">
        <f t="shared" si="749"/>
        <v>0</v>
      </c>
      <c r="L3805" s="6">
        <f t="shared" si="750"/>
        <v>1673474.9414748859</v>
      </c>
      <c r="M3805" s="6">
        <f t="shared" si="751"/>
        <v>-94672218.528004587</v>
      </c>
      <c r="N3805" s="6" t="str">
        <f t="shared" si="752"/>
        <v/>
      </c>
      <c r="O3805" s="10"/>
    </row>
    <row r="3806" spans="1:15">
      <c r="A3806" s="11" t="s">
        <v>1022</v>
      </c>
      <c r="B3806" s="6">
        <f t="shared" ref="B3806:B3832" si="753">E3587</f>
        <v>0</v>
      </c>
      <c r="C3806" s="6">
        <f t="shared" ref="C3806:C3832" si="754">E3635</f>
        <v>0</v>
      </c>
      <c r="D3806" s="6">
        <f t="shared" si="744"/>
        <v>0</v>
      </c>
      <c r="E3806" s="6">
        <f t="shared" si="745"/>
        <v>0</v>
      </c>
      <c r="F3806" s="15">
        <f t="shared" si="746"/>
        <v>60</v>
      </c>
      <c r="G3806" s="23">
        <v>82</v>
      </c>
      <c r="H3806" s="15">
        <f t="shared" si="743"/>
        <v>9802</v>
      </c>
      <c r="I3806" s="15">
        <f t="shared" si="747"/>
        <v>91</v>
      </c>
      <c r="J3806" s="15">
        <f t="shared" si="748"/>
        <v>69</v>
      </c>
      <c r="K3806" s="6">
        <f t="shared" si="749"/>
        <v>0</v>
      </c>
      <c r="L3806" s="6">
        <f t="shared" si="750"/>
        <v>1673474.9414748859</v>
      </c>
      <c r="M3806" s="6">
        <f t="shared" si="751"/>
        <v>-94672218.528004587</v>
      </c>
      <c r="N3806" s="6" t="str">
        <f t="shared" si="752"/>
        <v/>
      </c>
      <c r="O3806" s="10"/>
    </row>
    <row r="3807" spans="1:15">
      <c r="A3807" s="11" t="s">
        <v>1023</v>
      </c>
      <c r="B3807" s="6">
        <f t="shared" si="753"/>
        <v>0</v>
      </c>
      <c r="C3807" s="6">
        <f t="shared" si="754"/>
        <v>0</v>
      </c>
      <c r="D3807" s="6">
        <f t="shared" si="744"/>
        <v>0</v>
      </c>
      <c r="E3807" s="6">
        <f t="shared" si="745"/>
        <v>0</v>
      </c>
      <c r="F3807" s="15">
        <f t="shared" si="746"/>
        <v>60</v>
      </c>
      <c r="G3807" s="23">
        <v>83</v>
      </c>
      <c r="H3807" s="15">
        <f t="shared" si="743"/>
        <v>9803</v>
      </c>
      <c r="I3807" s="15">
        <f t="shared" si="747"/>
        <v>92</v>
      </c>
      <c r="J3807" s="15">
        <f t="shared" si="748"/>
        <v>70</v>
      </c>
      <c r="K3807" s="6">
        <f t="shared" si="749"/>
        <v>0</v>
      </c>
      <c r="L3807" s="6">
        <f t="shared" si="750"/>
        <v>1673474.9414748859</v>
      </c>
      <c r="M3807" s="6">
        <f t="shared" si="751"/>
        <v>-94672218.528004587</v>
      </c>
      <c r="N3807" s="6" t="str">
        <f t="shared" si="752"/>
        <v/>
      </c>
      <c r="O3807" s="10"/>
    </row>
    <row r="3808" spans="1:15">
      <c r="A3808" s="11" t="s">
        <v>1024</v>
      </c>
      <c r="B3808" s="6">
        <f t="shared" si="753"/>
        <v>0</v>
      </c>
      <c r="C3808" s="6">
        <f t="shared" si="754"/>
        <v>0</v>
      </c>
      <c r="D3808" s="6">
        <f t="shared" si="744"/>
        <v>0</v>
      </c>
      <c r="E3808" s="6">
        <f t="shared" si="745"/>
        <v>0</v>
      </c>
      <c r="F3808" s="15">
        <f t="shared" si="746"/>
        <v>60</v>
      </c>
      <c r="G3808" s="23">
        <v>84</v>
      </c>
      <c r="H3808" s="15">
        <f t="shared" si="743"/>
        <v>9804</v>
      </c>
      <c r="I3808" s="15">
        <f t="shared" si="747"/>
        <v>93</v>
      </c>
      <c r="J3808" s="15">
        <f t="shared" si="748"/>
        <v>71</v>
      </c>
      <c r="K3808" s="6">
        <f t="shared" si="749"/>
        <v>0</v>
      </c>
      <c r="L3808" s="6">
        <f t="shared" si="750"/>
        <v>1673474.9414748859</v>
      </c>
      <c r="M3808" s="6">
        <f t="shared" si="751"/>
        <v>-94672218.528004587</v>
      </c>
      <c r="N3808" s="6" t="str">
        <f t="shared" si="752"/>
        <v/>
      </c>
      <c r="O3808" s="10"/>
    </row>
    <row r="3809" spans="1:15">
      <c r="A3809" s="11" t="s">
        <v>1025</v>
      </c>
      <c r="B3809" s="6">
        <f t="shared" si="753"/>
        <v>0</v>
      </c>
      <c r="C3809" s="6">
        <f t="shared" si="754"/>
        <v>0</v>
      </c>
      <c r="D3809" s="6">
        <f t="shared" si="744"/>
        <v>0</v>
      </c>
      <c r="E3809" s="6">
        <f t="shared" si="745"/>
        <v>0</v>
      </c>
      <c r="F3809" s="15">
        <f t="shared" si="746"/>
        <v>60</v>
      </c>
      <c r="G3809" s="23">
        <v>85</v>
      </c>
      <c r="H3809" s="15">
        <f t="shared" si="743"/>
        <v>9805</v>
      </c>
      <c r="I3809" s="15">
        <f t="shared" si="747"/>
        <v>94</v>
      </c>
      <c r="J3809" s="15">
        <f t="shared" si="748"/>
        <v>72</v>
      </c>
      <c r="K3809" s="6">
        <f t="shared" si="749"/>
        <v>0</v>
      </c>
      <c r="L3809" s="6">
        <f t="shared" si="750"/>
        <v>1673474.9414748859</v>
      </c>
      <c r="M3809" s="6">
        <f t="shared" si="751"/>
        <v>-94672218.528004587</v>
      </c>
      <c r="N3809" s="6" t="str">
        <f t="shared" si="752"/>
        <v/>
      </c>
      <c r="O3809" s="10"/>
    </row>
    <row r="3810" spans="1:15">
      <c r="A3810" s="11" t="s">
        <v>1026</v>
      </c>
      <c r="B3810" s="6">
        <f t="shared" si="753"/>
        <v>0</v>
      </c>
      <c r="C3810" s="6">
        <f t="shared" si="754"/>
        <v>0</v>
      </c>
      <c r="D3810" s="6">
        <f t="shared" si="744"/>
        <v>0</v>
      </c>
      <c r="E3810" s="6">
        <f t="shared" si="745"/>
        <v>0</v>
      </c>
      <c r="F3810" s="15">
        <f t="shared" si="746"/>
        <v>60</v>
      </c>
      <c r="G3810" s="23">
        <v>86</v>
      </c>
      <c r="H3810" s="15">
        <f t="shared" si="743"/>
        <v>9806</v>
      </c>
      <c r="I3810" s="15">
        <f t="shared" si="747"/>
        <v>95</v>
      </c>
      <c r="J3810" s="15">
        <f t="shared" si="748"/>
        <v>74</v>
      </c>
      <c r="K3810" s="6">
        <f t="shared" si="749"/>
        <v>0</v>
      </c>
      <c r="L3810" s="6">
        <f t="shared" si="750"/>
        <v>1673474.9414748859</v>
      </c>
      <c r="M3810" s="6">
        <f t="shared" si="751"/>
        <v>-94672218.528004587</v>
      </c>
      <c r="N3810" s="6" t="str">
        <f t="shared" si="752"/>
        <v/>
      </c>
      <c r="O3810" s="10"/>
    </row>
    <row r="3811" spans="1:15">
      <c r="A3811" s="11" t="s">
        <v>1027</v>
      </c>
      <c r="B3811" s="6">
        <f t="shared" si="753"/>
        <v>0</v>
      </c>
      <c r="C3811" s="6">
        <f t="shared" si="754"/>
        <v>0</v>
      </c>
      <c r="D3811" s="6">
        <f t="shared" si="744"/>
        <v>0</v>
      </c>
      <c r="E3811" s="6">
        <f t="shared" si="745"/>
        <v>0</v>
      </c>
      <c r="F3811" s="15">
        <f t="shared" si="746"/>
        <v>60</v>
      </c>
      <c r="G3811" s="23">
        <v>87</v>
      </c>
      <c r="H3811" s="15">
        <f t="shared" si="743"/>
        <v>9807</v>
      </c>
      <c r="I3811" s="15">
        <f t="shared" si="747"/>
        <v>96</v>
      </c>
      <c r="J3811" s="15">
        <f t="shared" si="748"/>
        <v>75</v>
      </c>
      <c r="K3811" s="6">
        <f t="shared" si="749"/>
        <v>0</v>
      </c>
      <c r="L3811" s="6">
        <f t="shared" si="750"/>
        <v>1673474.9414748859</v>
      </c>
      <c r="M3811" s="6">
        <f t="shared" si="751"/>
        <v>-94672218.528004587</v>
      </c>
      <c r="N3811" s="6" t="str">
        <f t="shared" si="752"/>
        <v/>
      </c>
      <c r="O3811" s="10"/>
    </row>
    <row r="3812" spans="1:15">
      <c r="A3812" s="11" t="s">
        <v>1028</v>
      </c>
      <c r="B3812" s="6">
        <f t="shared" si="753"/>
        <v>0</v>
      </c>
      <c r="C3812" s="6">
        <f t="shared" si="754"/>
        <v>0</v>
      </c>
      <c r="D3812" s="6">
        <f t="shared" si="744"/>
        <v>0</v>
      </c>
      <c r="E3812" s="6">
        <f t="shared" si="745"/>
        <v>0</v>
      </c>
      <c r="F3812" s="15">
        <f t="shared" si="746"/>
        <v>60</v>
      </c>
      <c r="G3812" s="23">
        <v>88</v>
      </c>
      <c r="H3812" s="15">
        <f t="shared" si="743"/>
        <v>9808</v>
      </c>
      <c r="I3812" s="15">
        <f t="shared" si="747"/>
        <v>97</v>
      </c>
      <c r="J3812" s="15">
        <f t="shared" si="748"/>
        <v>76</v>
      </c>
      <c r="K3812" s="6">
        <f t="shared" si="749"/>
        <v>0</v>
      </c>
      <c r="L3812" s="6">
        <f t="shared" si="750"/>
        <v>1673474.9414748859</v>
      </c>
      <c r="M3812" s="6">
        <f t="shared" si="751"/>
        <v>-94672218.528004587</v>
      </c>
      <c r="N3812" s="6" t="str">
        <f t="shared" si="752"/>
        <v/>
      </c>
      <c r="O3812" s="10"/>
    </row>
    <row r="3813" spans="1:15">
      <c r="A3813" s="11" t="s">
        <v>1029</v>
      </c>
      <c r="B3813" s="6">
        <f t="shared" si="753"/>
        <v>0</v>
      </c>
      <c r="C3813" s="6">
        <f t="shared" si="754"/>
        <v>0</v>
      </c>
      <c r="D3813" s="6">
        <f t="shared" si="744"/>
        <v>0</v>
      </c>
      <c r="E3813" s="6">
        <f t="shared" si="745"/>
        <v>0</v>
      </c>
      <c r="F3813" s="15">
        <f t="shared" si="746"/>
        <v>60</v>
      </c>
      <c r="G3813" s="23">
        <v>89</v>
      </c>
      <c r="H3813" s="15">
        <f t="shared" si="743"/>
        <v>9809</v>
      </c>
      <c r="I3813" s="15">
        <f t="shared" si="747"/>
        <v>98</v>
      </c>
      <c r="J3813" s="15">
        <f t="shared" si="748"/>
        <v>78</v>
      </c>
      <c r="K3813" s="6">
        <f t="shared" si="749"/>
        <v>0</v>
      </c>
      <c r="L3813" s="6">
        <f t="shared" si="750"/>
        <v>1673474.9414748859</v>
      </c>
      <c r="M3813" s="6">
        <f t="shared" si="751"/>
        <v>-94672218.528004587</v>
      </c>
      <c r="N3813" s="6" t="str">
        <f t="shared" si="752"/>
        <v/>
      </c>
      <c r="O3813" s="10"/>
    </row>
    <row r="3814" spans="1:15">
      <c r="A3814" s="11" t="s">
        <v>1030</v>
      </c>
      <c r="B3814" s="6">
        <f t="shared" si="753"/>
        <v>0</v>
      </c>
      <c r="C3814" s="6">
        <f t="shared" si="754"/>
        <v>0</v>
      </c>
      <c r="D3814" s="6">
        <f t="shared" si="744"/>
        <v>0</v>
      </c>
      <c r="E3814" s="6">
        <f t="shared" si="745"/>
        <v>0</v>
      </c>
      <c r="F3814" s="15">
        <f t="shared" si="746"/>
        <v>60</v>
      </c>
      <c r="G3814" s="23">
        <v>90</v>
      </c>
      <c r="H3814" s="15">
        <f t="shared" si="743"/>
        <v>9810</v>
      </c>
      <c r="I3814" s="15">
        <f t="shared" si="747"/>
        <v>99</v>
      </c>
      <c r="J3814" s="15">
        <f t="shared" si="748"/>
        <v>80</v>
      </c>
      <c r="K3814" s="6">
        <f t="shared" si="749"/>
        <v>0</v>
      </c>
      <c r="L3814" s="6">
        <f t="shared" si="750"/>
        <v>1673474.9414748859</v>
      </c>
      <c r="M3814" s="6">
        <f t="shared" si="751"/>
        <v>-94672218.528004587</v>
      </c>
      <c r="N3814" s="6" t="str">
        <f t="shared" si="752"/>
        <v/>
      </c>
      <c r="O3814" s="10"/>
    </row>
    <row r="3815" spans="1:15">
      <c r="A3815" s="11" t="s">
        <v>1031</v>
      </c>
      <c r="B3815" s="6">
        <f t="shared" si="753"/>
        <v>0</v>
      </c>
      <c r="C3815" s="6">
        <f t="shared" si="754"/>
        <v>0</v>
      </c>
      <c r="D3815" s="6">
        <f t="shared" si="744"/>
        <v>0</v>
      </c>
      <c r="E3815" s="6">
        <f t="shared" si="745"/>
        <v>0</v>
      </c>
      <c r="F3815" s="15">
        <f t="shared" si="746"/>
        <v>60</v>
      </c>
      <c r="G3815" s="23">
        <v>91</v>
      </c>
      <c r="H3815" s="15">
        <f t="shared" si="743"/>
        <v>9811</v>
      </c>
      <c r="I3815" s="15">
        <f t="shared" si="747"/>
        <v>100</v>
      </c>
      <c r="J3815" s="15">
        <f t="shared" si="748"/>
        <v>82</v>
      </c>
      <c r="K3815" s="6">
        <f t="shared" si="749"/>
        <v>0</v>
      </c>
      <c r="L3815" s="6">
        <f t="shared" si="750"/>
        <v>1673474.9414748859</v>
      </c>
      <c r="M3815" s="6">
        <f t="shared" si="751"/>
        <v>-94672218.528004587</v>
      </c>
      <c r="N3815" s="6" t="str">
        <f t="shared" si="752"/>
        <v/>
      </c>
      <c r="O3815" s="10"/>
    </row>
    <row r="3816" spans="1:15">
      <c r="A3816" s="11" t="s">
        <v>1032</v>
      </c>
      <c r="B3816" s="6">
        <f t="shared" si="753"/>
        <v>0</v>
      </c>
      <c r="C3816" s="6">
        <f t="shared" si="754"/>
        <v>0</v>
      </c>
      <c r="D3816" s="6">
        <f t="shared" si="744"/>
        <v>0</v>
      </c>
      <c r="E3816" s="6">
        <f t="shared" si="745"/>
        <v>0</v>
      </c>
      <c r="F3816" s="15">
        <f t="shared" si="746"/>
        <v>60</v>
      </c>
      <c r="G3816" s="23">
        <v>92</v>
      </c>
      <c r="H3816" s="15">
        <f t="shared" si="743"/>
        <v>9812</v>
      </c>
      <c r="I3816" s="15">
        <f t="shared" si="747"/>
        <v>101</v>
      </c>
      <c r="J3816" s="15">
        <f t="shared" si="748"/>
        <v>83</v>
      </c>
      <c r="K3816" s="6">
        <f t="shared" si="749"/>
        <v>0</v>
      </c>
      <c r="L3816" s="6">
        <f t="shared" si="750"/>
        <v>1673474.9414748859</v>
      </c>
      <c r="M3816" s="6">
        <f t="shared" si="751"/>
        <v>-94672218.528004587</v>
      </c>
      <c r="N3816" s="6" t="str">
        <f t="shared" si="752"/>
        <v/>
      </c>
      <c r="O3816" s="10"/>
    </row>
    <row r="3817" spans="1:15">
      <c r="A3817" s="11" t="s">
        <v>1033</v>
      </c>
      <c r="B3817" s="6">
        <f t="shared" si="753"/>
        <v>0</v>
      </c>
      <c r="C3817" s="6">
        <f t="shared" si="754"/>
        <v>0</v>
      </c>
      <c r="D3817" s="6">
        <f t="shared" si="744"/>
        <v>0</v>
      </c>
      <c r="E3817" s="6">
        <f t="shared" si="745"/>
        <v>0</v>
      </c>
      <c r="F3817" s="15">
        <f t="shared" si="746"/>
        <v>60</v>
      </c>
      <c r="G3817" s="23">
        <v>93</v>
      </c>
      <c r="H3817" s="15">
        <f t="shared" si="743"/>
        <v>9813</v>
      </c>
      <c r="I3817" s="15">
        <f t="shared" si="747"/>
        <v>102</v>
      </c>
      <c r="J3817" s="15">
        <f t="shared" si="748"/>
        <v>84</v>
      </c>
      <c r="K3817" s="6">
        <f t="shared" si="749"/>
        <v>0</v>
      </c>
      <c r="L3817" s="6">
        <f t="shared" si="750"/>
        <v>1673474.9414748859</v>
      </c>
      <c r="M3817" s="6">
        <f t="shared" si="751"/>
        <v>-94672218.528004587</v>
      </c>
      <c r="N3817" s="6" t="str">
        <f t="shared" si="752"/>
        <v/>
      </c>
      <c r="O3817" s="10"/>
    </row>
    <row r="3818" spans="1:15">
      <c r="A3818" s="11" t="s">
        <v>1034</v>
      </c>
      <c r="B3818" s="6">
        <f t="shared" si="753"/>
        <v>0</v>
      </c>
      <c r="C3818" s="6">
        <f t="shared" si="754"/>
        <v>0</v>
      </c>
      <c r="D3818" s="6">
        <f t="shared" si="744"/>
        <v>0</v>
      </c>
      <c r="E3818" s="6">
        <f t="shared" si="745"/>
        <v>0</v>
      </c>
      <c r="F3818" s="15">
        <f t="shared" si="746"/>
        <v>60</v>
      </c>
      <c r="G3818" s="23">
        <v>94</v>
      </c>
      <c r="H3818" s="15">
        <f t="shared" si="743"/>
        <v>9814</v>
      </c>
      <c r="I3818" s="15">
        <f t="shared" si="747"/>
        <v>103</v>
      </c>
      <c r="J3818" s="15">
        <f t="shared" si="748"/>
        <v>85</v>
      </c>
      <c r="K3818" s="6">
        <f t="shared" si="749"/>
        <v>0</v>
      </c>
      <c r="L3818" s="6">
        <f t="shared" si="750"/>
        <v>1673474.9414748859</v>
      </c>
      <c r="M3818" s="6">
        <f t="shared" si="751"/>
        <v>-94672218.528004587</v>
      </c>
      <c r="N3818" s="6" t="str">
        <f t="shared" si="752"/>
        <v/>
      </c>
      <c r="O3818" s="10"/>
    </row>
    <row r="3819" spans="1:15">
      <c r="A3819" s="11" t="s">
        <v>1035</v>
      </c>
      <c r="B3819" s="6">
        <f t="shared" si="753"/>
        <v>0</v>
      </c>
      <c r="C3819" s="6">
        <f t="shared" si="754"/>
        <v>0</v>
      </c>
      <c r="D3819" s="6">
        <f t="shared" si="744"/>
        <v>0</v>
      </c>
      <c r="E3819" s="6">
        <f t="shared" si="745"/>
        <v>0</v>
      </c>
      <c r="F3819" s="15">
        <f t="shared" si="746"/>
        <v>60</v>
      </c>
      <c r="G3819" s="23">
        <v>95</v>
      </c>
      <c r="H3819" s="15">
        <f t="shared" si="743"/>
        <v>9815</v>
      </c>
      <c r="I3819" s="15">
        <f t="shared" si="747"/>
        <v>104</v>
      </c>
      <c r="J3819" s="15">
        <f t="shared" si="748"/>
        <v>86</v>
      </c>
      <c r="K3819" s="6">
        <f t="shared" si="749"/>
        <v>0</v>
      </c>
      <c r="L3819" s="6">
        <f t="shared" si="750"/>
        <v>1673474.9414748859</v>
      </c>
      <c r="M3819" s="6">
        <f t="shared" si="751"/>
        <v>-94672218.528004587</v>
      </c>
      <c r="N3819" s="6" t="str">
        <f t="shared" si="752"/>
        <v/>
      </c>
      <c r="O3819" s="10"/>
    </row>
    <row r="3820" spans="1:15">
      <c r="A3820" s="11" t="s">
        <v>1036</v>
      </c>
      <c r="B3820" s="6">
        <f t="shared" si="753"/>
        <v>0</v>
      </c>
      <c r="C3820" s="6">
        <f t="shared" si="754"/>
        <v>0</v>
      </c>
      <c r="D3820" s="6">
        <f t="shared" si="744"/>
        <v>0</v>
      </c>
      <c r="E3820" s="6">
        <f t="shared" si="745"/>
        <v>0</v>
      </c>
      <c r="F3820" s="15">
        <f t="shared" si="746"/>
        <v>60</v>
      </c>
      <c r="G3820" s="23">
        <v>96</v>
      </c>
      <c r="H3820" s="15">
        <f t="shared" ref="H3820:H3851" si="755">F3820*162+G3820</f>
        <v>9816</v>
      </c>
      <c r="I3820" s="15">
        <f t="shared" si="747"/>
        <v>105</v>
      </c>
      <c r="J3820" s="15">
        <f t="shared" si="748"/>
        <v>87</v>
      </c>
      <c r="K3820" s="6">
        <f t="shared" si="749"/>
        <v>0</v>
      </c>
      <c r="L3820" s="6">
        <f t="shared" si="750"/>
        <v>1673474.9414748859</v>
      </c>
      <c r="M3820" s="6">
        <f t="shared" si="751"/>
        <v>-94672218.528004587</v>
      </c>
      <c r="N3820" s="6" t="str">
        <f t="shared" si="752"/>
        <v/>
      </c>
      <c r="O3820" s="10"/>
    </row>
    <row r="3821" spans="1:15">
      <c r="A3821" s="11" t="s">
        <v>1037</v>
      </c>
      <c r="B3821" s="6">
        <f t="shared" si="753"/>
        <v>0</v>
      </c>
      <c r="C3821" s="6">
        <f t="shared" si="754"/>
        <v>0</v>
      </c>
      <c r="D3821" s="6">
        <f t="shared" ref="D3821:D3852" si="756">IF(ISERROR(B3821),C3821,0)</f>
        <v>0</v>
      </c>
      <c r="E3821" s="6">
        <f t="shared" ref="E3821:E3852" si="757">MAX($B$3689,B3821)*C3821</f>
        <v>0</v>
      </c>
      <c r="F3821" s="15">
        <f t="shared" ref="F3821:F3852" si="758">RANK(B3821,B$3725:B$3886,1)</f>
        <v>60</v>
      </c>
      <c r="G3821" s="23">
        <v>97</v>
      </c>
      <c r="H3821" s="15">
        <f t="shared" si="755"/>
        <v>9817</v>
      </c>
      <c r="I3821" s="15">
        <f t="shared" ref="I3821:I3852" si="759">RANK(H3821,H$3725:H$3886,1)</f>
        <v>106</v>
      </c>
      <c r="J3821" s="15">
        <f t="shared" ref="J3821:J3852" si="760">MATCH(G3821,I$3725:I$3886,0)</f>
        <v>88</v>
      </c>
      <c r="K3821" s="6">
        <f t="shared" ref="K3821:K3852" si="761">INDEX(B$3725:B$3886,J3821,1)</f>
        <v>0</v>
      </c>
      <c r="L3821" s="6">
        <f t="shared" ref="L3821:L3852" si="762">L3820+INDEX(C$3725:C$3886,J3821,1)</f>
        <v>1673474.9414748859</v>
      </c>
      <c r="M3821" s="6">
        <f t="shared" ref="M3821:M3852" si="763">M3820+(K3821-K3820)*L3820</f>
        <v>-94672218.528004587</v>
      </c>
      <c r="N3821" s="6" t="str">
        <f t="shared" ref="N3821:N3852" si="764">IF((M3820&gt;0)=(M3821&gt;0),"",K3821-M3821/L3820)</f>
        <v/>
      </c>
      <c r="O3821" s="10"/>
    </row>
    <row r="3822" spans="1:15">
      <c r="A3822" s="11" t="s">
        <v>1038</v>
      </c>
      <c r="B3822" s="6">
        <f t="shared" si="753"/>
        <v>0</v>
      </c>
      <c r="C3822" s="6">
        <f t="shared" si="754"/>
        <v>0</v>
      </c>
      <c r="D3822" s="6">
        <f t="shared" si="756"/>
        <v>0</v>
      </c>
      <c r="E3822" s="6">
        <f t="shared" si="757"/>
        <v>0</v>
      </c>
      <c r="F3822" s="15">
        <f t="shared" si="758"/>
        <v>60</v>
      </c>
      <c r="G3822" s="23">
        <v>98</v>
      </c>
      <c r="H3822" s="15">
        <f t="shared" si="755"/>
        <v>9818</v>
      </c>
      <c r="I3822" s="15">
        <f t="shared" si="759"/>
        <v>107</v>
      </c>
      <c r="J3822" s="15">
        <f t="shared" si="760"/>
        <v>89</v>
      </c>
      <c r="K3822" s="6">
        <f t="shared" si="761"/>
        <v>0</v>
      </c>
      <c r="L3822" s="6">
        <f t="shared" si="762"/>
        <v>1673474.9414748859</v>
      </c>
      <c r="M3822" s="6">
        <f t="shared" si="763"/>
        <v>-94672218.528004587</v>
      </c>
      <c r="N3822" s="6" t="str">
        <f t="shared" si="764"/>
        <v/>
      </c>
      <c r="O3822" s="10"/>
    </row>
    <row r="3823" spans="1:15">
      <c r="A3823" s="11" t="s">
        <v>1039</v>
      </c>
      <c r="B3823" s="6">
        <f t="shared" si="753"/>
        <v>0</v>
      </c>
      <c r="C3823" s="6">
        <f t="shared" si="754"/>
        <v>0</v>
      </c>
      <c r="D3823" s="6">
        <f t="shared" si="756"/>
        <v>0</v>
      </c>
      <c r="E3823" s="6">
        <f t="shared" si="757"/>
        <v>0</v>
      </c>
      <c r="F3823" s="15">
        <f t="shared" si="758"/>
        <v>60</v>
      </c>
      <c r="G3823" s="23">
        <v>99</v>
      </c>
      <c r="H3823" s="15">
        <f t="shared" si="755"/>
        <v>9819</v>
      </c>
      <c r="I3823" s="15">
        <f t="shared" si="759"/>
        <v>108</v>
      </c>
      <c r="J3823" s="15">
        <f t="shared" si="760"/>
        <v>90</v>
      </c>
      <c r="K3823" s="6">
        <f t="shared" si="761"/>
        <v>0</v>
      </c>
      <c r="L3823" s="6">
        <f t="shared" si="762"/>
        <v>1673474.9414748859</v>
      </c>
      <c r="M3823" s="6">
        <f t="shared" si="763"/>
        <v>-94672218.528004587</v>
      </c>
      <c r="N3823" s="6" t="str">
        <f t="shared" si="764"/>
        <v/>
      </c>
      <c r="O3823" s="10"/>
    </row>
    <row r="3824" spans="1:15">
      <c r="A3824" s="11" t="s">
        <v>1040</v>
      </c>
      <c r="B3824" s="6">
        <f t="shared" si="753"/>
        <v>0</v>
      </c>
      <c r="C3824" s="6">
        <f t="shared" si="754"/>
        <v>0</v>
      </c>
      <c r="D3824" s="6">
        <f t="shared" si="756"/>
        <v>0</v>
      </c>
      <c r="E3824" s="6">
        <f t="shared" si="757"/>
        <v>0</v>
      </c>
      <c r="F3824" s="15">
        <f t="shared" si="758"/>
        <v>60</v>
      </c>
      <c r="G3824" s="23">
        <v>100</v>
      </c>
      <c r="H3824" s="15">
        <f t="shared" si="755"/>
        <v>9820</v>
      </c>
      <c r="I3824" s="15">
        <f t="shared" si="759"/>
        <v>109</v>
      </c>
      <c r="J3824" s="15">
        <f t="shared" si="760"/>
        <v>91</v>
      </c>
      <c r="K3824" s="6">
        <f t="shared" si="761"/>
        <v>0</v>
      </c>
      <c r="L3824" s="6">
        <f t="shared" si="762"/>
        <v>1673474.9414748859</v>
      </c>
      <c r="M3824" s="6">
        <f t="shared" si="763"/>
        <v>-94672218.528004587</v>
      </c>
      <c r="N3824" s="6" t="str">
        <f t="shared" si="764"/>
        <v/>
      </c>
      <c r="O3824" s="10"/>
    </row>
    <row r="3825" spans="1:15">
      <c r="A3825" s="11" t="s">
        <v>1041</v>
      </c>
      <c r="B3825" s="6">
        <f t="shared" si="753"/>
        <v>0</v>
      </c>
      <c r="C3825" s="6">
        <f t="shared" si="754"/>
        <v>0</v>
      </c>
      <c r="D3825" s="6">
        <f t="shared" si="756"/>
        <v>0</v>
      </c>
      <c r="E3825" s="6">
        <f t="shared" si="757"/>
        <v>0</v>
      </c>
      <c r="F3825" s="15">
        <f t="shared" si="758"/>
        <v>60</v>
      </c>
      <c r="G3825" s="23">
        <v>101</v>
      </c>
      <c r="H3825" s="15">
        <f t="shared" si="755"/>
        <v>9821</v>
      </c>
      <c r="I3825" s="15">
        <f t="shared" si="759"/>
        <v>110</v>
      </c>
      <c r="J3825" s="15">
        <f t="shared" si="760"/>
        <v>92</v>
      </c>
      <c r="K3825" s="6">
        <f t="shared" si="761"/>
        <v>0</v>
      </c>
      <c r="L3825" s="6">
        <f t="shared" si="762"/>
        <v>1673474.9414748859</v>
      </c>
      <c r="M3825" s="6">
        <f t="shared" si="763"/>
        <v>-94672218.528004587</v>
      </c>
      <c r="N3825" s="6" t="str">
        <f t="shared" si="764"/>
        <v/>
      </c>
      <c r="O3825" s="10"/>
    </row>
    <row r="3826" spans="1:15">
      <c r="A3826" s="11" t="s">
        <v>1042</v>
      </c>
      <c r="B3826" s="6">
        <f t="shared" si="753"/>
        <v>0</v>
      </c>
      <c r="C3826" s="6">
        <f t="shared" si="754"/>
        <v>0</v>
      </c>
      <c r="D3826" s="6">
        <f t="shared" si="756"/>
        <v>0</v>
      </c>
      <c r="E3826" s="6">
        <f t="shared" si="757"/>
        <v>0</v>
      </c>
      <c r="F3826" s="15">
        <f t="shared" si="758"/>
        <v>60</v>
      </c>
      <c r="G3826" s="23">
        <v>102</v>
      </c>
      <c r="H3826" s="15">
        <f t="shared" si="755"/>
        <v>9822</v>
      </c>
      <c r="I3826" s="15">
        <f t="shared" si="759"/>
        <v>111</v>
      </c>
      <c r="J3826" s="15">
        <f t="shared" si="760"/>
        <v>93</v>
      </c>
      <c r="K3826" s="6">
        <f t="shared" si="761"/>
        <v>0</v>
      </c>
      <c r="L3826" s="6">
        <f t="shared" si="762"/>
        <v>1673474.9414748859</v>
      </c>
      <c r="M3826" s="6">
        <f t="shared" si="763"/>
        <v>-94672218.528004587</v>
      </c>
      <c r="N3826" s="6" t="str">
        <f t="shared" si="764"/>
        <v/>
      </c>
      <c r="O3826" s="10"/>
    </row>
    <row r="3827" spans="1:15">
      <c r="A3827" s="11" t="s">
        <v>1043</v>
      </c>
      <c r="B3827" s="6">
        <f t="shared" si="753"/>
        <v>0</v>
      </c>
      <c r="C3827" s="6">
        <f t="shared" si="754"/>
        <v>0</v>
      </c>
      <c r="D3827" s="6">
        <f t="shared" si="756"/>
        <v>0</v>
      </c>
      <c r="E3827" s="6">
        <f t="shared" si="757"/>
        <v>0</v>
      </c>
      <c r="F3827" s="15">
        <f t="shared" si="758"/>
        <v>60</v>
      </c>
      <c r="G3827" s="23">
        <v>103</v>
      </c>
      <c r="H3827" s="15">
        <f t="shared" si="755"/>
        <v>9823</v>
      </c>
      <c r="I3827" s="15">
        <f t="shared" si="759"/>
        <v>112</v>
      </c>
      <c r="J3827" s="15">
        <f t="shared" si="760"/>
        <v>94</v>
      </c>
      <c r="K3827" s="6">
        <f t="shared" si="761"/>
        <v>0</v>
      </c>
      <c r="L3827" s="6">
        <f t="shared" si="762"/>
        <v>1673474.9414748859</v>
      </c>
      <c r="M3827" s="6">
        <f t="shared" si="763"/>
        <v>-94672218.528004587</v>
      </c>
      <c r="N3827" s="6" t="str">
        <f t="shared" si="764"/>
        <v/>
      </c>
      <c r="O3827" s="10"/>
    </row>
    <row r="3828" spans="1:15">
      <c r="A3828" s="11" t="s">
        <v>1044</v>
      </c>
      <c r="B3828" s="6">
        <f t="shared" si="753"/>
        <v>0</v>
      </c>
      <c r="C3828" s="6">
        <f t="shared" si="754"/>
        <v>0</v>
      </c>
      <c r="D3828" s="6">
        <f t="shared" si="756"/>
        <v>0</v>
      </c>
      <c r="E3828" s="6">
        <f t="shared" si="757"/>
        <v>0</v>
      </c>
      <c r="F3828" s="15">
        <f t="shared" si="758"/>
        <v>60</v>
      </c>
      <c r="G3828" s="23">
        <v>104</v>
      </c>
      <c r="H3828" s="15">
        <f t="shared" si="755"/>
        <v>9824</v>
      </c>
      <c r="I3828" s="15">
        <f t="shared" si="759"/>
        <v>113</v>
      </c>
      <c r="J3828" s="15">
        <f t="shared" si="760"/>
        <v>95</v>
      </c>
      <c r="K3828" s="6">
        <f t="shared" si="761"/>
        <v>0</v>
      </c>
      <c r="L3828" s="6">
        <f t="shared" si="762"/>
        <v>1673474.9414748859</v>
      </c>
      <c r="M3828" s="6">
        <f t="shared" si="763"/>
        <v>-94672218.528004587</v>
      </c>
      <c r="N3828" s="6" t="str">
        <f t="shared" si="764"/>
        <v/>
      </c>
      <c r="O3828" s="10"/>
    </row>
    <row r="3829" spans="1:15">
      <c r="A3829" s="11" t="s">
        <v>1045</v>
      </c>
      <c r="B3829" s="6">
        <f t="shared" si="753"/>
        <v>0</v>
      </c>
      <c r="C3829" s="6">
        <f t="shared" si="754"/>
        <v>0</v>
      </c>
      <c r="D3829" s="6">
        <f t="shared" si="756"/>
        <v>0</v>
      </c>
      <c r="E3829" s="6">
        <f t="shared" si="757"/>
        <v>0</v>
      </c>
      <c r="F3829" s="15">
        <f t="shared" si="758"/>
        <v>60</v>
      </c>
      <c r="G3829" s="23">
        <v>105</v>
      </c>
      <c r="H3829" s="15">
        <f t="shared" si="755"/>
        <v>9825</v>
      </c>
      <c r="I3829" s="15">
        <f t="shared" si="759"/>
        <v>114</v>
      </c>
      <c r="J3829" s="15">
        <f t="shared" si="760"/>
        <v>96</v>
      </c>
      <c r="K3829" s="6">
        <f t="shared" si="761"/>
        <v>0</v>
      </c>
      <c r="L3829" s="6">
        <f t="shared" si="762"/>
        <v>1673474.9414748859</v>
      </c>
      <c r="M3829" s="6">
        <f t="shared" si="763"/>
        <v>-94672218.528004587</v>
      </c>
      <c r="N3829" s="6" t="str">
        <f t="shared" si="764"/>
        <v/>
      </c>
      <c r="O3829" s="10"/>
    </row>
    <row r="3830" spans="1:15">
      <c r="A3830" s="11" t="s">
        <v>1046</v>
      </c>
      <c r="B3830" s="6">
        <f t="shared" si="753"/>
        <v>0</v>
      </c>
      <c r="C3830" s="6">
        <f t="shared" si="754"/>
        <v>0</v>
      </c>
      <c r="D3830" s="6">
        <f t="shared" si="756"/>
        <v>0</v>
      </c>
      <c r="E3830" s="6">
        <f t="shared" si="757"/>
        <v>0</v>
      </c>
      <c r="F3830" s="15">
        <f t="shared" si="758"/>
        <v>60</v>
      </c>
      <c r="G3830" s="23">
        <v>106</v>
      </c>
      <c r="H3830" s="15">
        <f t="shared" si="755"/>
        <v>9826</v>
      </c>
      <c r="I3830" s="15">
        <f t="shared" si="759"/>
        <v>115</v>
      </c>
      <c r="J3830" s="15">
        <f t="shared" si="760"/>
        <v>97</v>
      </c>
      <c r="K3830" s="6">
        <f t="shared" si="761"/>
        <v>0</v>
      </c>
      <c r="L3830" s="6">
        <f t="shared" si="762"/>
        <v>1673474.9414748859</v>
      </c>
      <c r="M3830" s="6">
        <f t="shared" si="763"/>
        <v>-94672218.528004587</v>
      </c>
      <c r="N3830" s="6" t="str">
        <f t="shared" si="764"/>
        <v/>
      </c>
      <c r="O3830" s="10"/>
    </row>
    <row r="3831" spans="1:15">
      <c r="A3831" s="11" t="s">
        <v>1047</v>
      </c>
      <c r="B3831" s="6">
        <f t="shared" si="753"/>
        <v>0</v>
      </c>
      <c r="C3831" s="6">
        <f t="shared" si="754"/>
        <v>0</v>
      </c>
      <c r="D3831" s="6">
        <f t="shared" si="756"/>
        <v>0</v>
      </c>
      <c r="E3831" s="6">
        <f t="shared" si="757"/>
        <v>0</v>
      </c>
      <c r="F3831" s="15">
        <f t="shared" si="758"/>
        <v>60</v>
      </c>
      <c r="G3831" s="23">
        <v>107</v>
      </c>
      <c r="H3831" s="15">
        <f t="shared" si="755"/>
        <v>9827</v>
      </c>
      <c r="I3831" s="15">
        <f t="shared" si="759"/>
        <v>116</v>
      </c>
      <c r="J3831" s="15">
        <f t="shared" si="760"/>
        <v>98</v>
      </c>
      <c r="K3831" s="6">
        <f t="shared" si="761"/>
        <v>0</v>
      </c>
      <c r="L3831" s="6">
        <f t="shared" si="762"/>
        <v>1673474.9414748859</v>
      </c>
      <c r="M3831" s="6">
        <f t="shared" si="763"/>
        <v>-94672218.528004587</v>
      </c>
      <c r="N3831" s="6" t="str">
        <f t="shared" si="764"/>
        <v/>
      </c>
      <c r="O3831" s="10"/>
    </row>
    <row r="3832" spans="1:15">
      <c r="A3832" s="11" t="s">
        <v>1048</v>
      </c>
      <c r="B3832" s="6">
        <f t="shared" si="753"/>
        <v>0</v>
      </c>
      <c r="C3832" s="6">
        <f t="shared" si="754"/>
        <v>0</v>
      </c>
      <c r="D3832" s="6">
        <f t="shared" si="756"/>
        <v>0</v>
      </c>
      <c r="E3832" s="6">
        <f t="shared" si="757"/>
        <v>0</v>
      </c>
      <c r="F3832" s="15">
        <f t="shared" si="758"/>
        <v>60</v>
      </c>
      <c r="G3832" s="23">
        <v>108</v>
      </c>
      <c r="H3832" s="15">
        <f t="shared" si="755"/>
        <v>9828</v>
      </c>
      <c r="I3832" s="15">
        <f t="shared" si="759"/>
        <v>117</v>
      </c>
      <c r="J3832" s="15">
        <f t="shared" si="760"/>
        <v>99</v>
      </c>
      <c r="K3832" s="6">
        <f t="shared" si="761"/>
        <v>0</v>
      </c>
      <c r="L3832" s="6">
        <f t="shared" si="762"/>
        <v>1673474.9414748859</v>
      </c>
      <c r="M3832" s="6">
        <f t="shared" si="763"/>
        <v>-94672218.528004587</v>
      </c>
      <c r="N3832" s="6" t="str">
        <f t="shared" si="764"/>
        <v/>
      </c>
      <c r="O3832" s="10"/>
    </row>
    <row r="3833" spans="1:15">
      <c r="A3833" s="11" t="s">
        <v>1049</v>
      </c>
      <c r="B3833" s="6">
        <f t="shared" ref="B3833:B3859" si="765">F3587</f>
        <v>0</v>
      </c>
      <c r="C3833" s="6">
        <f t="shared" ref="C3833:C3859" si="766">F3635</f>
        <v>0</v>
      </c>
      <c r="D3833" s="6">
        <f t="shared" si="756"/>
        <v>0</v>
      </c>
      <c r="E3833" s="6">
        <f t="shared" si="757"/>
        <v>0</v>
      </c>
      <c r="F3833" s="15">
        <f t="shared" si="758"/>
        <v>60</v>
      </c>
      <c r="G3833" s="23">
        <v>109</v>
      </c>
      <c r="H3833" s="15">
        <f t="shared" si="755"/>
        <v>9829</v>
      </c>
      <c r="I3833" s="15">
        <f t="shared" si="759"/>
        <v>118</v>
      </c>
      <c r="J3833" s="15">
        <f t="shared" si="760"/>
        <v>100</v>
      </c>
      <c r="K3833" s="6">
        <f t="shared" si="761"/>
        <v>0</v>
      </c>
      <c r="L3833" s="6">
        <f t="shared" si="762"/>
        <v>1673474.9414748859</v>
      </c>
      <c r="M3833" s="6">
        <f t="shared" si="763"/>
        <v>-94672218.528004587</v>
      </c>
      <c r="N3833" s="6" t="str">
        <f t="shared" si="764"/>
        <v/>
      </c>
      <c r="O3833" s="10"/>
    </row>
    <row r="3834" spans="1:15">
      <c r="A3834" s="11" t="s">
        <v>1050</v>
      </c>
      <c r="B3834" s="6">
        <f t="shared" si="765"/>
        <v>0</v>
      </c>
      <c r="C3834" s="6">
        <f t="shared" si="766"/>
        <v>0</v>
      </c>
      <c r="D3834" s="6">
        <f t="shared" si="756"/>
        <v>0</v>
      </c>
      <c r="E3834" s="6">
        <f t="shared" si="757"/>
        <v>0</v>
      </c>
      <c r="F3834" s="15">
        <f t="shared" si="758"/>
        <v>60</v>
      </c>
      <c r="G3834" s="23">
        <v>110</v>
      </c>
      <c r="H3834" s="15">
        <f t="shared" si="755"/>
        <v>9830</v>
      </c>
      <c r="I3834" s="15">
        <f t="shared" si="759"/>
        <v>119</v>
      </c>
      <c r="J3834" s="15">
        <f t="shared" si="760"/>
        <v>101</v>
      </c>
      <c r="K3834" s="6">
        <f t="shared" si="761"/>
        <v>0</v>
      </c>
      <c r="L3834" s="6">
        <f t="shared" si="762"/>
        <v>1673474.9414748859</v>
      </c>
      <c r="M3834" s="6">
        <f t="shared" si="763"/>
        <v>-94672218.528004587</v>
      </c>
      <c r="N3834" s="6" t="str">
        <f t="shared" si="764"/>
        <v/>
      </c>
      <c r="O3834" s="10"/>
    </row>
    <row r="3835" spans="1:15">
      <c r="A3835" s="11" t="s">
        <v>1051</v>
      </c>
      <c r="B3835" s="6">
        <f t="shared" si="765"/>
        <v>0</v>
      </c>
      <c r="C3835" s="6">
        <f t="shared" si="766"/>
        <v>0</v>
      </c>
      <c r="D3835" s="6">
        <f t="shared" si="756"/>
        <v>0</v>
      </c>
      <c r="E3835" s="6">
        <f t="shared" si="757"/>
        <v>0</v>
      </c>
      <c r="F3835" s="15">
        <f t="shared" si="758"/>
        <v>60</v>
      </c>
      <c r="G3835" s="23">
        <v>111</v>
      </c>
      <c r="H3835" s="15">
        <f t="shared" si="755"/>
        <v>9831</v>
      </c>
      <c r="I3835" s="15">
        <f t="shared" si="759"/>
        <v>120</v>
      </c>
      <c r="J3835" s="15">
        <f t="shared" si="760"/>
        <v>102</v>
      </c>
      <c r="K3835" s="6">
        <f t="shared" si="761"/>
        <v>0</v>
      </c>
      <c r="L3835" s="6">
        <f t="shared" si="762"/>
        <v>1673474.9414748859</v>
      </c>
      <c r="M3835" s="6">
        <f t="shared" si="763"/>
        <v>-94672218.528004587</v>
      </c>
      <c r="N3835" s="6" t="str">
        <f t="shared" si="764"/>
        <v/>
      </c>
      <c r="O3835" s="10"/>
    </row>
    <row r="3836" spans="1:15">
      <c r="A3836" s="11" t="s">
        <v>1052</v>
      </c>
      <c r="B3836" s="6">
        <f t="shared" si="765"/>
        <v>0</v>
      </c>
      <c r="C3836" s="6">
        <f t="shared" si="766"/>
        <v>0</v>
      </c>
      <c r="D3836" s="6">
        <f t="shared" si="756"/>
        <v>0</v>
      </c>
      <c r="E3836" s="6">
        <f t="shared" si="757"/>
        <v>0</v>
      </c>
      <c r="F3836" s="15">
        <f t="shared" si="758"/>
        <v>60</v>
      </c>
      <c r="G3836" s="23">
        <v>112</v>
      </c>
      <c r="H3836" s="15">
        <f t="shared" si="755"/>
        <v>9832</v>
      </c>
      <c r="I3836" s="15">
        <f t="shared" si="759"/>
        <v>121</v>
      </c>
      <c r="J3836" s="15">
        <f t="shared" si="760"/>
        <v>103</v>
      </c>
      <c r="K3836" s="6">
        <f t="shared" si="761"/>
        <v>0</v>
      </c>
      <c r="L3836" s="6">
        <f t="shared" si="762"/>
        <v>1673474.9414748859</v>
      </c>
      <c r="M3836" s="6">
        <f t="shared" si="763"/>
        <v>-94672218.528004587</v>
      </c>
      <c r="N3836" s="6" t="str">
        <f t="shared" si="764"/>
        <v/>
      </c>
      <c r="O3836" s="10"/>
    </row>
    <row r="3837" spans="1:15">
      <c r="A3837" s="11" t="s">
        <v>1053</v>
      </c>
      <c r="B3837" s="6">
        <f t="shared" si="765"/>
        <v>0</v>
      </c>
      <c r="C3837" s="6">
        <f t="shared" si="766"/>
        <v>0</v>
      </c>
      <c r="D3837" s="6">
        <f t="shared" si="756"/>
        <v>0</v>
      </c>
      <c r="E3837" s="6">
        <f t="shared" si="757"/>
        <v>0</v>
      </c>
      <c r="F3837" s="15">
        <f t="shared" si="758"/>
        <v>60</v>
      </c>
      <c r="G3837" s="23">
        <v>113</v>
      </c>
      <c r="H3837" s="15">
        <f t="shared" si="755"/>
        <v>9833</v>
      </c>
      <c r="I3837" s="15">
        <f t="shared" si="759"/>
        <v>122</v>
      </c>
      <c r="J3837" s="15">
        <f t="shared" si="760"/>
        <v>104</v>
      </c>
      <c r="K3837" s="6">
        <f t="shared" si="761"/>
        <v>0</v>
      </c>
      <c r="L3837" s="6">
        <f t="shared" si="762"/>
        <v>1673474.9414748859</v>
      </c>
      <c r="M3837" s="6">
        <f t="shared" si="763"/>
        <v>-94672218.528004587</v>
      </c>
      <c r="N3837" s="6" t="str">
        <f t="shared" si="764"/>
        <v/>
      </c>
      <c r="O3837" s="10"/>
    </row>
    <row r="3838" spans="1:15">
      <c r="A3838" s="11" t="s">
        <v>1054</v>
      </c>
      <c r="B3838" s="6">
        <f t="shared" si="765"/>
        <v>0</v>
      </c>
      <c r="C3838" s="6">
        <f t="shared" si="766"/>
        <v>0</v>
      </c>
      <c r="D3838" s="6">
        <f t="shared" si="756"/>
        <v>0</v>
      </c>
      <c r="E3838" s="6">
        <f t="shared" si="757"/>
        <v>0</v>
      </c>
      <c r="F3838" s="15">
        <f t="shared" si="758"/>
        <v>60</v>
      </c>
      <c r="G3838" s="23">
        <v>114</v>
      </c>
      <c r="H3838" s="15">
        <f t="shared" si="755"/>
        <v>9834</v>
      </c>
      <c r="I3838" s="15">
        <f t="shared" si="759"/>
        <v>123</v>
      </c>
      <c r="J3838" s="15">
        <f t="shared" si="760"/>
        <v>105</v>
      </c>
      <c r="K3838" s="6">
        <f t="shared" si="761"/>
        <v>0</v>
      </c>
      <c r="L3838" s="6">
        <f t="shared" si="762"/>
        <v>1673474.9414748859</v>
      </c>
      <c r="M3838" s="6">
        <f t="shared" si="763"/>
        <v>-94672218.528004587</v>
      </c>
      <c r="N3838" s="6" t="str">
        <f t="shared" si="764"/>
        <v/>
      </c>
      <c r="O3838" s="10"/>
    </row>
    <row r="3839" spans="1:15">
      <c r="A3839" s="11" t="s">
        <v>1055</v>
      </c>
      <c r="B3839" s="6">
        <f t="shared" si="765"/>
        <v>0</v>
      </c>
      <c r="C3839" s="6">
        <f t="shared" si="766"/>
        <v>0</v>
      </c>
      <c r="D3839" s="6">
        <f t="shared" si="756"/>
        <v>0</v>
      </c>
      <c r="E3839" s="6">
        <f t="shared" si="757"/>
        <v>0</v>
      </c>
      <c r="F3839" s="15">
        <f t="shared" si="758"/>
        <v>60</v>
      </c>
      <c r="G3839" s="23">
        <v>115</v>
      </c>
      <c r="H3839" s="15">
        <f t="shared" si="755"/>
        <v>9835</v>
      </c>
      <c r="I3839" s="15">
        <f t="shared" si="759"/>
        <v>124</v>
      </c>
      <c r="J3839" s="15">
        <f t="shared" si="760"/>
        <v>106</v>
      </c>
      <c r="K3839" s="6">
        <f t="shared" si="761"/>
        <v>0</v>
      </c>
      <c r="L3839" s="6">
        <f t="shared" si="762"/>
        <v>1673474.9414748859</v>
      </c>
      <c r="M3839" s="6">
        <f t="shared" si="763"/>
        <v>-94672218.528004587</v>
      </c>
      <c r="N3839" s="6" t="str">
        <f t="shared" si="764"/>
        <v/>
      </c>
      <c r="O3839" s="10"/>
    </row>
    <row r="3840" spans="1:15">
      <c r="A3840" s="11" t="s">
        <v>1056</v>
      </c>
      <c r="B3840" s="6">
        <f t="shared" si="765"/>
        <v>0</v>
      </c>
      <c r="C3840" s="6">
        <f t="shared" si="766"/>
        <v>0</v>
      </c>
      <c r="D3840" s="6">
        <f t="shared" si="756"/>
        <v>0</v>
      </c>
      <c r="E3840" s="6">
        <f t="shared" si="757"/>
        <v>0</v>
      </c>
      <c r="F3840" s="15">
        <f t="shared" si="758"/>
        <v>60</v>
      </c>
      <c r="G3840" s="23">
        <v>116</v>
      </c>
      <c r="H3840" s="15">
        <f t="shared" si="755"/>
        <v>9836</v>
      </c>
      <c r="I3840" s="15">
        <f t="shared" si="759"/>
        <v>125</v>
      </c>
      <c r="J3840" s="15">
        <f t="shared" si="760"/>
        <v>107</v>
      </c>
      <c r="K3840" s="6">
        <f t="shared" si="761"/>
        <v>0</v>
      </c>
      <c r="L3840" s="6">
        <f t="shared" si="762"/>
        <v>1673474.9414748859</v>
      </c>
      <c r="M3840" s="6">
        <f t="shared" si="763"/>
        <v>-94672218.528004587</v>
      </c>
      <c r="N3840" s="6" t="str">
        <f t="shared" si="764"/>
        <v/>
      </c>
      <c r="O3840" s="10"/>
    </row>
    <row r="3841" spans="1:15">
      <c r="A3841" s="11" t="s">
        <v>1057</v>
      </c>
      <c r="B3841" s="6">
        <f t="shared" si="765"/>
        <v>0</v>
      </c>
      <c r="C3841" s="6">
        <f t="shared" si="766"/>
        <v>0</v>
      </c>
      <c r="D3841" s="6">
        <f t="shared" si="756"/>
        <v>0</v>
      </c>
      <c r="E3841" s="6">
        <f t="shared" si="757"/>
        <v>0</v>
      </c>
      <c r="F3841" s="15">
        <f t="shared" si="758"/>
        <v>60</v>
      </c>
      <c r="G3841" s="23">
        <v>117</v>
      </c>
      <c r="H3841" s="15">
        <f t="shared" si="755"/>
        <v>9837</v>
      </c>
      <c r="I3841" s="15">
        <f t="shared" si="759"/>
        <v>126</v>
      </c>
      <c r="J3841" s="15">
        <f t="shared" si="760"/>
        <v>108</v>
      </c>
      <c r="K3841" s="6">
        <f t="shared" si="761"/>
        <v>0</v>
      </c>
      <c r="L3841" s="6">
        <f t="shared" si="762"/>
        <v>1673474.9414748859</v>
      </c>
      <c r="M3841" s="6">
        <f t="shared" si="763"/>
        <v>-94672218.528004587</v>
      </c>
      <c r="N3841" s="6" t="str">
        <f t="shared" si="764"/>
        <v/>
      </c>
      <c r="O3841" s="10"/>
    </row>
    <row r="3842" spans="1:15">
      <c r="A3842" s="11" t="s">
        <v>1058</v>
      </c>
      <c r="B3842" s="6">
        <f t="shared" si="765"/>
        <v>0</v>
      </c>
      <c r="C3842" s="6">
        <f t="shared" si="766"/>
        <v>0</v>
      </c>
      <c r="D3842" s="6">
        <f t="shared" si="756"/>
        <v>0</v>
      </c>
      <c r="E3842" s="6">
        <f t="shared" si="757"/>
        <v>0</v>
      </c>
      <c r="F3842" s="15">
        <f t="shared" si="758"/>
        <v>60</v>
      </c>
      <c r="G3842" s="23">
        <v>118</v>
      </c>
      <c r="H3842" s="15">
        <f t="shared" si="755"/>
        <v>9838</v>
      </c>
      <c r="I3842" s="15">
        <f t="shared" si="759"/>
        <v>127</v>
      </c>
      <c r="J3842" s="15">
        <f t="shared" si="760"/>
        <v>109</v>
      </c>
      <c r="K3842" s="6">
        <f t="shared" si="761"/>
        <v>0</v>
      </c>
      <c r="L3842" s="6">
        <f t="shared" si="762"/>
        <v>1673474.9414748859</v>
      </c>
      <c r="M3842" s="6">
        <f t="shared" si="763"/>
        <v>-94672218.528004587</v>
      </c>
      <c r="N3842" s="6" t="str">
        <f t="shared" si="764"/>
        <v/>
      </c>
      <c r="O3842" s="10"/>
    </row>
    <row r="3843" spans="1:15">
      <c r="A3843" s="11" t="s">
        <v>1059</v>
      </c>
      <c r="B3843" s="6">
        <f t="shared" si="765"/>
        <v>0</v>
      </c>
      <c r="C3843" s="6">
        <f t="shared" si="766"/>
        <v>0</v>
      </c>
      <c r="D3843" s="6">
        <f t="shared" si="756"/>
        <v>0</v>
      </c>
      <c r="E3843" s="6">
        <f t="shared" si="757"/>
        <v>0</v>
      </c>
      <c r="F3843" s="15">
        <f t="shared" si="758"/>
        <v>60</v>
      </c>
      <c r="G3843" s="23">
        <v>119</v>
      </c>
      <c r="H3843" s="15">
        <f t="shared" si="755"/>
        <v>9839</v>
      </c>
      <c r="I3843" s="15">
        <f t="shared" si="759"/>
        <v>128</v>
      </c>
      <c r="J3843" s="15">
        <f t="shared" si="760"/>
        <v>110</v>
      </c>
      <c r="K3843" s="6">
        <f t="shared" si="761"/>
        <v>0</v>
      </c>
      <c r="L3843" s="6">
        <f t="shared" si="762"/>
        <v>1673474.9414748859</v>
      </c>
      <c r="M3843" s="6">
        <f t="shared" si="763"/>
        <v>-94672218.528004587</v>
      </c>
      <c r="N3843" s="6" t="str">
        <f t="shared" si="764"/>
        <v/>
      </c>
      <c r="O3843" s="10"/>
    </row>
    <row r="3844" spans="1:15">
      <c r="A3844" s="11" t="s">
        <v>1060</v>
      </c>
      <c r="B3844" s="6">
        <f t="shared" si="765"/>
        <v>0</v>
      </c>
      <c r="C3844" s="6">
        <f t="shared" si="766"/>
        <v>0</v>
      </c>
      <c r="D3844" s="6">
        <f t="shared" si="756"/>
        <v>0</v>
      </c>
      <c r="E3844" s="6">
        <f t="shared" si="757"/>
        <v>0</v>
      </c>
      <c r="F3844" s="15">
        <f t="shared" si="758"/>
        <v>60</v>
      </c>
      <c r="G3844" s="23">
        <v>120</v>
      </c>
      <c r="H3844" s="15">
        <f t="shared" si="755"/>
        <v>9840</v>
      </c>
      <c r="I3844" s="15">
        <f t="shared" si="759"/>
        <v>129</v>
      </c>
      <c r="J3844" s="15">
        <f t="shared" si="760"/>
        <v>111</v>
      </c>
      <c r="K3844" s="6">
        <f t="shared" si="761"/>
        <v>0</v>
      </c>
      <c r="L3844" s="6">
        <f t="shared" si="762"/>
        <v>1673474.9414748859</v>
      </c>
      <c r="M3844" s="6">
        <f t="shared" si="763"/>
        <v>-94672218.528004587</v>
      </c>
      <c r="N3844" s="6" t="str">
        <f t="shared" si="764"/>
        <v/>
      </c>
      <c r="O3844" s="10"/>
    </row>
    <row r="3845" spans="1:15">
      <c r="A3845" s="11" t="s">
        <v>1061</v>
      </c>
      <c r="B3845" s="6">
        <f t="shared" si="765"/>
        <v>0</v>
      </c>
      <c r="C3845" s="6">
        <f t="shared" si="766"/>
        <v>0</v>
      </c>
      <c r="D3845" s="6">
        <f t="shared" si="756"/>
        <v>0</v>
      </c>
      <c r="E3845" s="6">
        <f t="shared" si="757"/>
        <v>0</v>
      </c>
      <c r="F3845" s="15">
        <f t="shared" si="758"/>
        <v>60</v>
      </c>
      <c r="G3845" s="23">
        <v>121</v>
      </c>
      <c r="H3845" s="15">
        <f t="shared" si="755"/>
        <v>9841</v>
      </c>
      <c r="I3845" s="15">
        <f t="shared" si="759"/>
        <v>130</v>
      </c>
      <c r="J3845" s="15">
        <f t="shared" si="760"/>
        <v>112</v>
      </c>
      <c r="K3845" s="6">
        <f t="shared" si="761"/>
        <v>0</v>
      </c>
      <c r="L3845" s="6">
        <f t="shared" si="762"/>
        <v>1673474.9414748859</v>
      </c>
      <c r="M3845" s="6">
        <f t="shared" si="763"/>
        <v>-94672218.528004587</v>
      </c>
      <c r="N3845" s="6" t="str">
        <f t="shared" si="764"/>
        <v/>
      </c>
      <c r="O3845" s="10"/>
    </row>
    <row r="3846" spans="1:15">
      <c r="A3846" s="11" t="s">
        <v>1062</v>
      </c>
      <c r="B3846" s="6">
        <f t="shared" si="765"/>
        <v>0</v>
      </c>
      <c r="C3846" s="6">
        <f t="shared" si="766"/>
        <v>0</v>
      </c>
      <c r="D3846" s="6">
        <f t="shared" si="756"/>
        <v>0</v>
      </c>
      <c r="E3846" s="6">
        <f t="shared" si="757"/>
        <v>0</v>
      </c>
      <c r="F3846" s="15">
        <f t="shared" si="758"/>
        <v>60</v>
      </c>
      <c r="G3846" s="23">
        <v>122</v>
      </c>
      <c r="H3846" s="15">
        <f t="shared" si="755"/>
        <v>9842</v>
      </c>
      <c r="I3846" s="15">
        <f t="shared" si="759"/>
        <v>131</v>
      </c>
      <c r="J3846" s="15">
        <f t="shared" si="760"/>
        <v>113</v>
      </c>
      <c r="K3846" s="6">
        <f t="shared" si="761"/>
        <v>0</v>
      </c>
      <c r="L3846" s="6">
        <f t="shared" si="762"/>
        <v>1673474.9414748859</v>
      </c>
      <c r="M3846" s="6">
        <f t="shared" si="763"/>
        <v>-94672218.528004587</v>
      </c>
      <c r="N3846" s="6" t="str">
        <f t="shared" si="764"/>
        <v/>
      </c>
      <c r="O3846" s="10"/>
    </row>
    <row r="3847" spans="1:15">
      <c r="A3847" s="11" t="s">
        <v>1063</v>
      </c>
      <c r="B3847" s="6">
        <f t="shared" si="765"/>
        <v>0</v>
      </c>
      <c r="C3847" s="6">
        <f t="shared" si="766"/>
        <v>0</v>
      </c>
      <c r="D3847" s="6">
        <f t="shared" si="756"/>
        <v>0</v>
      </c>
      <c r="E3847" s="6">
        <f t="shared" si="757"/>
        <v>0</v>
      </c>
      <c r="F3847" s="15">
        <f t="shared" si="758"/>
        <v>60</v>
      </c>
      <c r="G3847" s="23">
        <v>123</v>
      </c>
      <c r="H3847" s="15">
        <f t="shared" si="755"/>
        <v>9843</v>
      </c>
      <c r="I3847" s="15">
        <f t="shared" si="759"/>
        <v>132</v>
      </c>
      <c r="J3847" s="15">
        <f t="shared" si="760"/>
        <v>114</v>
      </c>
      <c r="K3847" s="6">
        <f t="shared" si="761"/>
        <v>0</v>
      </c>
      <c r="L3847" s="6">
        <f t="shared" si="762"/>
        <v>1673474.9414748859</v>
      </c>
      <c r="M3847" s="6">
        <f t="shared" si="763"/>
        <v>-94672218.528004587</v>
      </c>
      <c r="N3847" s="6" t="str">
        <f t="shared" si="764"/>
        <v/>
      </c>
      <c r="O3847" s="10"/>
    </row>
    <row r="3848" spans="1:15">
      <c r="A3848" s="11" t="s">
        <v>1064</v>
      </c>
      <c r="B3848" s="6">
        <f t="shared" si="765"/>
        <v>0</v>
      </c>
      <c r="C3848" s="6">
        <f t="shared" si="766"/>
        <v>0</v>
      </c>
      <c r="D3848" s="6">
        <f t="shared" si="756"/>
        <v>0</v>
      </c>
      <c r="E3848" s="6">
        <f t="shared" si="757"/>
        <v>0</v>
      </c>
      <c r="F3848" s="15">
        <f t="shared" si="758"/>
        <v>60</v>
      </c>
      <c r="G3848" s="23">
        <v>124</v>
      </c>
      <c r="H3848" s="15">
        <f t="shared" si="755"/>
        <v>9844</v>
      </c>
      <c r="I3848" s="15">
        <f t="shared" si="759"/>
        <v>133</v>
      </c>
      <c r="J3848" s="15">
        <f t="shared" si="760"/>
        <v>115</v>
      </c>
      <c r="K3848" s="6">
        <f t="shared" si="761"/>
        <v>0</v>
      </c>
      <c r="L3848" s="6">
        <f t="shared" si="762"/>
        <v>1673474.9414748859</v>
      </c>
      <c r="M3848" s="6">
        <f t="shared" si="763"/>
        <v>-94672218.528004587</v>
      </c>
      <c r="N3848" s="6" t="str">
        <f t="shared" si="764"/>
        <v/>
      </c>
      <c r="O3848" s="10"/>
    </row>
    <row r="3849" spans="1:15">
      <c r="A3849" s="11" t="s">
        <v>1065</v>
      </c>
      <c r="B3849" s="6">
        <f t="shared" si="765"/>
        <v>0</v>
      </c>
      <c r="C3849" s="6">
        <f t="shared" si="766"/>
        <v>0</v>
      </c>
      <c r="D3849" s="6">
        <f t="shared" si="756"/>
        <v>0</v>
      </c>
      <c r="E3849" s="6">
        <f t="shared" si="757"/>
        <v>0</v>
      </c>
      <c r="F3849" s="15">
        <f t="shared" si="758"/>
        <v>60</v>
      </c>
      <c r="G3849" s="23">
        <v>125</v>
      </c>
      <c r="H3849" s="15">
        <f t="shared" si="755"/>
        <v>9845</v>
      </c>
      <c r="I3849" s="15">
        <f t="shared" si="759"/>
        <v>134</v>
      </c>
      <c r="J3849" s="15">
        <f t="shared" si="760"/>
        <v>116</v>
      </c>
      <c r="K3849" s="6">
        <f t="shared" si="761"/>
        <v>0</v>
      </c>
      <c r="L3849" s="6">
        <f t="shared" si="762"/>
        <v>1673474.9414748859</v>
      </c>
      <c r="M3849" s="6">
        <f t="shared" si="763"/>
        <v>-94672218.528004587</v>
      </c>
      <c r="N3849" s="6" t="str">
        <f t="shared" si="764"/>
        <v/>
      </c>
      <c r="O3849" s="10"/>
    </row>
    <row r="3850" spans="1:15">
      <c r="A3850" s="11" t="s">
        <v>1066</v>
      </c>
      <c r="B3850" s="6">
        <f t="shared" si="765"/>
        <v>0</v>
      </c>
      <c r="C3850" s="6">
        <f t="shared" si="766"/>
        <v>0</v>
      </c>
      <c r="D3850" s="6">
        <f t="shared" si="756"/>
        <v>0</v>
      </c>
      <c r="E3850" s="6">
        <f t="shared" si="757"/>
        <v>0</v>
      </c>
      <c r="F3850" s="15">
        <f t="shared" si="758"/>
        <v>60</v>
      </c>
      <c r="G3850" s="23">
        <v>126</v>
      </c>
      <c r="H3850" s="15">
        <f t="shared" si="755"/>
        <v>9846</v>
      </c>
      <c r="I3850" s="15">
        <f t="shared" si="759"/>
        <v>135</v>
      </c>
      <c r="J3850" s="15">
        <f t="shared" si="760"/>
        <v>117</v>
      </c>
      <c r="K3850" s="6">
        <f t="shared" si="761"/>
        <v>0</v>
      </c>
      <c r="L3850" s="6">
        <f t="shared" si="762"/>
        <v>1673474.9414748859</v>
      </c>
      <c r="M3850" s="6">
        <f t="shared" si="763"/>
        <v>-94672218.528004587</v>
      </c>
      <c r="N3850" s="6" t="str">
        <f t="shared" si="764"/>
        <v/>
      </c>
      <c r="O3850" s="10"/>
    </row>
    <row r="3851" spans="1:15">
      <c r="A3851" s="11" t="s">
        <v>1067</v>
      </c>
      <c r="B3851" s="6">
        <f t="shared" si="765"/>
        <v>0</v>
      </c>
      <c r="C3851" s="6">
        <f t="shared" si="766"/>
        <v>0</v>
      </c>
      <c r="D3851" s="6">
        <f t="shared" si="756"/>
        <v>0</v>
      </c>
      <c r="E3851" s="6">
        <f t="shared" si="757"/>
        <v>0</v>
      </c>
      <c r="F3851" s="15">
        <f t="shared" si="758"/>
        <v>60</v>
      </c>
      <c r="G3851" s="23">
        <v>127</v>
      </c>
      <c r="H3851" s="15">
        <f t="shared" si="755"/>
        <v>9847</v>
      </c>
      <c r="I3851" s="15">
        <f t="shared" si="759"/>
        <v>136</v>
      </c>
      <c r="J3851" s="15">
        <f t="shared" si="760"/>
        <v>118</v>
      </c>
      <c r="K3851" s="6">
        <f t="shared" si="761"/>
        <v>0</v>
      </c>
      <c r="L3851" s="6">
        <f t="shared" si="762"/>
        <v>1673474.9414748859</v>
      </c>
      <c r="M3851" s="6">
        <f t="shared" si="763"/>
        <v>-94672218.528004587</v>
      </c>
      <c r="N3851" s="6" t="str">
        <f t="shared" si="764"/>
        <v/>
      </c>
      <c r="O3851" s="10"/>
    </row>
    <row r="3852" spans="1:15">
      <c r="A3852" s="11" t="s">
        <v>1068</v>
      </c>
      <c r="B3852" s="6">
        <f t="shared" si="765"/>
        <v>0</v>
      </c>
      <c r="C3852" s="6">
        <f t="shared" si="766"/>
        <v>0</v>
      </c>
      <c r="D3852" s="6">
        <f t="shared" si="756"/>
        <v>0</v>
      </c>
      <c r="E3852" s="6">
        <f t="shared" si="757"/>
        <v>0</v>
      </c>
      <c r="F3852" s="15">
        <f t="shared" si="758"/>
        <v>60</v>
      </c>
      <c r="G3852" s="23">
        <v>128</v>
      </c>
      <c r="H3852" s="15">
        <f t="shared" ref="H3852:H3883" si="767">F3852*162+G3852</f>
        <v>9848</v>
      </c>
      <c r="I3852" s="15">
        <f t="shared" si="759"/>
        <v>137</v>
      </c>
      <c r="J3852" s="15">
        <f t="shared" si="760"/>
        <v>119</v>
      </c>
      <c r="K3852" s="6">
        <f t="shared" si="761"/>
        <v>0</v>
      </c>
      <c r="L3852" s="6">
        <f t="shared" si="762"/>
        <v>1673474.9414748859</v>
      </c>
      <c r="M3852" s="6">
        <f t="shared" si="763"/>
        <v>-94672218.528004587</v>
      </c>
      <c r="N3852" s="6" t="str">
        <f t="shared" si="764"/>
        <v/>
      </c>
      <c r="O3852" s="10"/>
    </row>
    <row r="3853" spans="1:15">
      <c r="A3853" s="11" t="s">
        <v>1069</v>
      </c>
      <c r="B3853" s="6">
        <f t="shared" si="765"/>
        <v>0</v>
      </c>
      <c r="C3853" s="6">
        <f t="shared" si="766"/>
        <v>0</v>
      </c>
      <c r="D3853" s="6">
        <f t="shared" ref="D3853:D3884" si="768">IF(ISERROR(B3853),C3853,0)</f>
        <v>0</v>
      </c>
      <c r="E3853" s="6">
        <f t="shared" ref="E3853:E3886" si="769">MAX($B$3689,B3853)*C3853</f>
        <v>0</v>
      </c>
      <c r="F3853" s="15">
        <f t="shared" ref="F3853:F3886" si="770">RANK(B3853,B$3725:B$3886,1)</f>
        <v>60</v>
      </c>
      <c r="G3853" s="23">
        <v>129</v>
      </c>
      <c r="H3853" s="15">
        <f t="shared" si="767"/>
        <v>9849</v>
      </c>
      <c r="I3853" s="15">
        <f t="shared" ref="I3853:I3884" si="771">RANK(H3853,H$3725:H$3886,1)</f>
        <v>138</v>
      </c>
      <c r="J3853" s="15">
        <f t="shared" ref="J3853:J3884" si="772">MATCH(G3853,I$3725:I$3886,0)</f>
        <v>120</v>
      </c>
      <c r="K3853" s="6">
        <f t="shared" ref="K3853:K3884" si="773">INDEX(B$3725:B$3886,J3853,1)</f>
        <v>0</v>
      </c>
      <c r="L3853" s="6">
        <f t="shared" ref="L3853:L3886" si="774">L3852+INDEX(C$3725:C$3886,J3853,1)</f>
        <v>1673474.9414748859</v>
      </c>
      <c r="M3853" s="6">
        <f t="shared" ref="M3853:M3886" si="775">M3852+(K3853-K3852)*L3852</f>
        <v>-94672218.528004587</v>
      </c>
      <c r="N3853" s="6" t="str">
        <f t="shared" ref="N3853:N3884" si="776">IF((M3852&gt;0)=(M3853&gt;0),"",K3853-M3853/L3852)</f>
        <v/>
      </c>
      <c r="O3853" s="10"/>
    </row>
    <row r="3854" spans="1:15">
      <c r="A3854" s="11" t="s">
        <v>1070</v>
      </c>
      <c r="B3854" s="6">
        <f t="shared" si="765"/>
        <v>0</v>
      </c>
      <c r="C3854" s="6">
        <f t="shared" si="766"/>
        <v>0</v>
      </c>
      <c r="D3854" s="6">
        <f t="shared" si="768"/>
        <v>0</v>
      </c>
      <c r="E3854" s="6">
        <f t="shared" si="769"/>
        <v>0</v>
      </c>
      <c r="F3854" s="15">
        <f t="shared" si="770"/>
        <v>60</v>
      </c>
      <c r="G3854" s="23">
        <v>130</v>
      </c>
      <c r="H3854" s="15">
        <f t="shared" si="767"/>
        <v>9850</v>
      </c>
      <c r="I3854" s="15">
        <f t="shared" si="771"/>
        <v>139</v>
      </c>
      <c r="J3854" s="15">
        <f t="shared" si="772"/>
        <v>121</v>
      </c>
      <c r="K3854" s="6">
        <f t="shared" si="773"/>
        <v>0</v>
      </c>
      <c r="L3854" s="6">
        <f t="shared" si="774"/>
        <v>1673474.9414748859</v>
      </c>
      <c r="M3854" s="6">
        <f t="shared" si="775"/>
        <v>-94672218.528004587</v>
      </c>
      <c r="N3854" s="6" t="str">
        <f t="shared" si="776"/>
        <v/>
      </c>
      <c r="O3854" s="10"/>
    </row>
    <row r="3855" spans="1:15">
      <c r="A3855" s="11" t="s">
        <v>1071</v>
      </c>
      <c r="B3855" s="6">
        <f t="shared" si="765"/>
        <v>0</v>
      </c>
      <c r="C3855" s="6">
        <f t="shared" si="766"/>
        <v>0</v>
      </c>
      <c r="D3855" s="6">
        <f t="shared" si="768"/>
        <v>0</v>
      </c>
      <c r="E3855" s="6">
        <f t="shared" si="769"/>
        <v>0</v>
      </c>
      <c r="F3855" s="15">
        <f t="shared" si="770"/>
        <v>60</v>
      </c>
      <c r="G3855" s="23">
        <v>131</v>
      </c>
      <c r="H3855" s="15">
        <f t="shared" si="767"/>
        <v>9851</v>
      </c>
      <c r="I3855" s="15">
        <f t="shared" si="771"/>
        <v>140</v>
      </c>
      <c r="J3855" s="15">
        <f t="shared" si="772"/>
        <v>122</v>
      </c>
      <c r="K3855" s="6">
        <f t="shared" si="773"/>
        <v>0</v>
      </c>
      <c r="L3855" s="6">
        <f t="shared" si="774"/>
        <v>1673474.9414748859</v>
      </c>
      <c r="M3855" s="6">
        <f t="shared" si="775"/>
        <v>-94672218.528004587</v>
      </c>
      <c r="N3855" s="6" t="str">
        <f t="shared" si="776"/>
        <v/>
      </c>
      <c r="O3855" s="10"/>
    </row>
    <row r="3856" spans="1:15">
      <c r="A3856" s="11" t="s">
        <v>1072</v>
      </c>
      <c r="B3856" s="6">
        <f t="shared" si="765"/>
        <v>0</v>
      </c>
      <c r="C3856" s="6">
        <f t="shared" si="766"/>
        <v>0</v>
      </c>
      <c r="D3856" s="6">
        <f t="shared" si="768"/>
        <v>0</v>
      </c>
      <c r="E3856" s="6">
        <f t="shared" si="769"/>
        <v>0</v>
      </c>
      <c r="F3856" s="15">
        <f t="shared" si="770"/>
        <v>60</v>
      </c>
      <c r="G3856" s="23">
        <v>132</v>
      </c>
      <c r="H3856" s="15">
        <f t="shared" si="767"/>
        <v>9852</v>
      </c>
      <c r="I3856" s="15">
        <f t="shared" si="771"/>
        <v>141</v>
      </c>
      <c r="J3856" s="15">
        <f t="shared" si="772"/>
        <v>123</v>
      </c>
      <c r="K3856" s="6">
        <f t="shared" si="773"/>
        <v>0</v>
      </c>
      <c r="L3856" s="6">
        <f t="shared" si="774"/>
        <v>1673474.9414748859</v>
      </c>
      <c r="M3856" s="6">
        <f t="shared" si="775"/>
        <v>-94672218.528004587</v>
      </c>
      <c r="N3856" s="6" t="str">
        <f t="shared" si="776"/>
        <v/>
      </c>
      <c r="O3856" s="10"/>
    </row>
    <row r="3857" spans="1:15">
      <c r="A3857" s="11" t="s">
        <v>1073</v>
      </c>
      <c r="B3857" s="6">
        <f t="shared" si="765"/>
        <v>0</v>
      </c>
      <c r="C3857" s="6">
        <f t="shared" si="766"/>
        <v>0</v>
      </c>
      <c r="D3857" s="6">
        <f t="shared" si="768"/>
        <v>0</v>
      </c>
      <c r="E3857" s="6">
        <f t="shared" si="769"/>
        <v>0</v>
      </c>
      <c r="F3857" s="15">
        <f t="shared" si="770"/>
        <v>60</v>
      </c>
      <c r="G3857" s="23">
        <v>133</v>
      </c>
      <c r="H3857" s="15">
        <f t="shared" si="767"/>
        <v>9853</v>
      </c>
      <c r="I3857" s="15">
        <f t="shared" si="771"/>
        <v>142</v>
      </c>
      <c r="J3857" s="15">
        <f t="shared" si="772"/>
        <v>124</v>
      </c>
      <c r="K3857" s="6">
        <f t="shared" si="773"/>
        <v>0</v>
      </c>
      <c r="L3857" s="6">
        <f t="shared" si="774"/>
        <v>1673474.9414748859</v>
      </c>
      <c r="M3857" s="6">
        <f t="shared" si="775"/>
        <v>-94672218.528004587</v>
      </c>
      <c r="N3857" s="6" t="str">
        <f t="shared" si="776"/>
        <v/>
      </c>
      <c r="O3857" s="10"/>
    </row>
    <row r="3858" spans="1:15">
      <c r="A3858" s="11" t="s">
        <v>1074</v>
      </c>
      <c r="B3858" s="6">
        <f t="shared" si="765"/>
        <v>0</v>
      </c>
      <c r="C3858" s="6">
        <f t="shared" si="766"/>
        <v>0</v>
      </c>
      <c r="D3858" s="6">
        <f t="shared" si="768"/>
        <v>0</v>
      </c>
      <c r="E3858" s="6">
        <f t="shared" si="769"/>
        <v>0</v>
      </c>
      <c r="F3858" s="15">
        <f t="shared" si="770"/>
        <v>60</v>
      </c>
      <c r="G3858" s="23">
        <v>134</v>
      </c>
      <c r="H3858" s="15">
        <f t="shared" si="767"/>
        <v>9854</v>
      </c>
      <c r="I3858" s="15">
        <f t="shared" si="771"/>
        <v>143</v>
      </c>
      <c r="J3858" s="15">
        <f t="shared" si="772"/>
        <v>125</v>
      </c>
      <c r="K3858" s="6">
        <f t="shared" si="773"/>
        <v>0</v>
      </c>
      <c r="L3858" s="6">
        <f t="shared" si="774"/>
        <v>1673474.9414748859</v>
      </c>
      <c r="M3858" s="6">
        <f t="shared" si="775"/>
        <v>-94672218.528004587</v>
      </c>
      <c r="N3858" s="6" t="str">
        <f t="shared" si="776"/>
        <v/>
      </c>
      <c r="O3858" s="10"/>
    </row>
    <row r="3859" spans="1:15">
      <c r="A3859" s="11" t="s">
        <v>1075</v>
      </c>
      <c r="B3859" s="6">
        <f t="shared" si="765"/>
        <v>0</v>
      </c>
      <c r="C3859" s="6">
        <f t="shared" si="766"/>
        <v>0</v>
      </c>
      <c r="D3859" s="6">
        <f t="shared" si="768"/>
        <v>0</v>
      </c>
      <c r="E3859" s="6">
        <f t="shared" si="769"/>
        <v>0</v>
      </c>
      <c r="F3859" s="15">
        <f t="shared" si="770"/>
        <v>60</v>
      </c>
      <c r="G3859" s="23">
        <v>135</v>
      </c>
      <c r="H3859" s="15">
        <f t="shared" si="767"/>
        <v>9855</v>
      </c>
      <c r="I3859" s="15">
        <f t="shared" si="771"/>
        <v>144</v>
      </c>
      <c r="J3859" s="15">
        <f t="shared" si="772"/>
        <v>126</v>
      </c>
      <c r="K3859" s="6">
        <f t="shared" si="773"/>
        <v>0</v>
      </c>
      <c r="L3859" s="6">
        <f t="shared" si="774"/>
        <v>1673474.9414748859</v>
      </c>
      <c r="M3859" s="6">
        <f t="shared" si="775"/>
        <v>-94672218.528004587</v>
      </c>
      <c r="N3859" s="6" t="str">
        <f t="shared" si="776"/>
        <v/>
      </c>
      <c r="O3859" s="10"/>
    </row>
    <row r="3860" spans="1:15">
      <c r="A3860" s="11" t="s">
        <v>1076</v>
      </c>
      <c r="B3860" s="6">
        <f t="shared" ref="B3860:B3886" si="777">G3587</f>
        <v>0</v>
      </c>
      <c r="C3860" s="6">
        <f t="shared" ref="C3860:C3886" si="778">G3635</f>
        <v>0</v>
      </c>
      <c r="D3860" s="6">
        <f t="shared" si="768"/>
        <v>0</v>
      </c>
      <c r="E3860" s="6">
        <f t="shared" si="769"/>
        <v>0</v>
      </c>
      <c r="F3860" s="15">
        <f t="shared" si="770"/>
        <v>60</v>
      </c>
      <c r="G3860" s="23">
        <v>136</v>
      </c>
      <c r="H3860" s="15">
        <f t="shared" si="767"/>
        <v>9856</v>
      </c>
      <c r="I3860" s="15">
        <f t="shared" si="771"/>
        <v>145</v>
      </c>
      <c r="J3860" s="15">
        <f t="shared" si="772"/>
        <v>127</v>
      </c>
      <c r="K3860" s="6">
        <f t="shared" si="773"/>
        <v>0</v>
      </c>
      <c r="L3860" s="6">
        <f t="shared" si="774"/>
        <v>1673474.9414748859</v>
      </c>
      <c r="M3860" s="6">
        <f t="shared" si="775"/>
        <v>-94672218.528004587</v>
      </c>
      <c r="N3860" s="6" t="str">
        <f t="shared" si="776"/>
        <v/>
      </c>
      <c r="O3860" s="10"/>
    </row>
    <row r="3861" spans="1:15">
      <c r="A3861" s="11" t="s">
        <v>1077</v>
      </c>
      <c r="B3861" s="6">
        <f t="shared" si="777"/>
        <v>0</v>
      </c>
      <c r="C3861" s="6">
        <f t="shared" si="778"/>
        <v>0</v>
      </c>
      <c r="D3861" s="6">
        <f t="shared" si="768"/>
        <v>0</v>
      </c>
      <c r="E3861" s="6">
        <f t="shared" si="769"/>
        <v>0</v>
      </c>
      <c r="F3861" s="15">
        <f t="shared" si="770"/>
        <v>60</v>
      </c>
      <c r="G3861" s="23">
        <v>137</v>
      </c>
      <c r="H3861" s="15">
        <f t="shared" si="767"/>
        <v>9857</v>
      </c>
      <c r="I3861" s="15">
        <f t="shared" si="771"/>
        <v>146</v>
      </c>
      <c r="J3861" s="15">
        <f t="shared" si="772"/>
        <v>128</v>
      </c>
      <c r="K3861" s="6">
        <f t="shared" si="773"/>
        <v>0</v>
      </c>
      <c r="L3861" s="6">
        <f t="shared" si="774"/>
        <v>1673474.9414748859</v>
      </c>
      <c r="M3861" s="6">
        <f t="shared" si="775"/>
        <v>-94672218.528004587</v>
      </c>
      <c r="N3861" s="6" t="str">
        <f t="shared" si="776"/>
        <v/>
      </c>
      <c r="O3861" s="10"/>
    </row>
    <row r="3862" spans="1:15">
      <c r="A3862" s="11" t="s">
        <v>1078</v>
      </c>
      <c r="B3862" s="6">
        <f t="shared" si="777"/>
        <v>0</v>
      </c>
      <c r="C3862" s="6">
        <f t="shared" si="778"/>
        <v>0</v>
      </c>
      <c r="D3862" s="6">
        <f t="shared" si="768"/>
        <v>0</v>
      </c>
      <c r="E3862" s="6">
        <f t="shared" si="769"/>
        <v>0</v>
      </c>
      <c r="F3862" s="15">
        <f t="shared" si="770"/>
        <v>60</v>
      </c>
      <c r="G3862" s="23">
        <v>138</v>
      </c>
      <c r="H3862" s="15">
        <f t="shared" si="767"/>
        <v>9858</v>
      </c>
      <c r="I3862" s="15">
        <f t="shared" si="771"/>
        <v>147</v>
      </c>
      <c r="J3862" s="15">
        <f t="shared" si="772"/>
        <v>129</v>
      </c>
      <c r="K3862" s="6">
        <f t="shared" si="773"/>
        <v>0</v>
      </c>
      <c r="L3862" s="6">
        <f t="shared" si="774"/>
        <v>1673474.9414748859</v>
      </c>
      <c r="M3862" s="6">
        <f t="shared" si="775"/>
        <v>-94672218.528004587</v>
      </c>
      <c r="N3862" s="6" t="str">
        <f t="shared" si="776"/>
        <v/>
      </c>
      <c r="O3862" s="10"/>
    </row>
    <row r="3863" spans="1:15">
      <c r="A3863" s="11" t="s">
        <v>1079</v>
      </c>
      <c r="B3863" s="6">
        <f t="shared" si="777"/>
        <v>0</v>
      </c>
      <c r="C3863" s="6">
        <f t="shared" si="778"/>
        <v>0</v>
      </c>
      <c r="D3863" s="6">
        <f t="shared" si="768"/>
        <v>0</v>
      </c>
      <c r="E3863" s="6">
        <f t="shared" si="769"/>
        <v>0</v>
      </c>
      <c r="F3863" s="15">
        <f t="shared" si="770"/>
        <v>60</v>
      </c>
      <c r="G3863" s="23">
        <v>139</v>
      </c>
      <c r="H3863" s="15">
        <f t="shared" si="767"/>
        <v>9859</v>
      </c>
      <c r="I3863" s="15">
        <f t="shared" si="771"/>
        <v>148</v>
      </c>
      <c r="J3863" s="15">
        <f t="shared" si="772"/>
        <v>130</v>
      </c>
      <c r="K3863" s="6">
        <f t="shared" si="773"/>
        <v>0</v>
      </c>
      <c r="L3863" s="6">
        <f t="shared" si="774"/>
        <v>1673474.9414748859</v>
      </c>
      <c r="M3863" s="6">
        <f t="shared" si="775"/>
        <v>-94672218.528004587</v>
      </c>
      <c r="N3863" s="6" t="str">
        <f t="shared" si="776"/>
        <v/>
      </c>
      <c r="O3863" s="10"/>
    </row>
    <row r="3864" spans="1:15">
      <c r="A3864" s="11" t="s">
        <v>1080</v>
      </c>
      <c r="B3864" s="6">
        <f t="shared" si="777"/>
        <v>0</v>
      </c>
      <c r="C3864" s="6">
        <f t="shared" si="778"/>
        <v>0</v>
      </c>
      <c r="D3864" s="6">
        <f t="shared" si="768"/>
        <v>0</v>
      </c>
      <c r="E3864" s="6">
        <f t="shared" si="769"/>
        <v>0</v>
      </c>
      <c r="F3864" s="15">
        <f t="shared" si="770"/>
        <v>60</v>
      </c>
      <c r="G3864" s="23">
        <v>140</v>
      </c>
      <c r="H3864" s="15">
        <f t="shared" si="767"/>
        <v>9860</v>
      </c>
      <c r="I3864" s="15">
        <f t="shared" si="771"/>
        <v>149</v>
      </c>
      <c r="J3864" s="15">
        <f t="shared" si="772"/>
        <v>131</v>
      </c>
      <c r="K3864" s="6">
        <f t="shared" si="773"/>
        <v>0</v>
      </c>
      <c r="L3864" s="6">
        <f t="shared" si="774"/>
        <v>1673474.9414748859</v>
      </c>
      <c r="M3864" s="6">
        <f t="shared" si="775"/>
        <v>-94672218.528004587</v>
      </c>
      <c r="N3864" s="6" t="str">
        <f t="shared" si="776"/>
        <v/>
      </c>
      <c r="O3864" s="10"/>
    </row>
    <row r="3865" spans="1:15">
      <c r="A3865" s="11" t="s">
        <v>1081</v>
      </c>
      <c r="B3865" s="6">
        <f t="shared" si="777"/>
        <v>0</v>
      </c>
      <c r="C3865" s="6">
        <f t="shared" si="778"/>
        <v>0</v>
      </c>
      <c r="D3865" s="6">
        <f t="shared" si="768"/>
        <v>0</v>
      </c>
      <c r="E3865" s="6">
        <f t="shared" si="769"/>
        <v>0</v>
      </c>
      <c r="F3865" s="15">
        <f t="shared" si="770"/>
        <v>60</v>
      </c>
      <c r="G3865" s="23">
        <v>141</v>
      </c>
      <c r="H3865" s="15">
        <f t="shared" si="767"/>
        <v>9861</v>
      </c>
      <c r="I3865" s="15">
        <f t="shared" si="771"/>
        <v>150</v>
      </c>
      <c r="J3865" s="15">
        <f t="shared" si="772"/>
        <v>132</v>
      </c>
      <c r="K3865" s="6">
        <f t="shared" si="773"/>
        <v>0</v>
      </c>
      <c r="L3865" s="6">
        <f t="shared" si="774"/>
        <v>1673474.9414748859</v>
      </c>
      <c r="M3865" s="6">
        <f t="shared" si="775"/>
        <v>-94672218.528004587</v>
      </c>
      <c r="N3865" s="6" t="str">
        <f t="shared" si="776"/>
        <v/>
      </c>
      <c r="O3865" s="10"/>
    </row>
    <row r="3866" spans="1:15">
      <c r="A3866" s="11" t="s">
        <v>1082</v>
      </c>
      <c r="B3866" s="6">
        <f t="shared" si="777"/>
        <v>0</v>
      </c>
      <c r="C3866" s="6">
        <f t="shared" si="778"/>
        <v>0</v>
      </c>
      <c r="D3866" s="6">
        <f t="shared" si="768"/>
        <v>0</v>
      </c>
      <c r="E3866" s="6">
        <f t="shared" si="769"/>
        <v>0</v>
      </c>
      <c r="F3866" s="15">
        <f t="shared" si="770"/>
        <v>60</v>
      </c>
      <c r="G3866" s="23">
        <v>142</v>
      </c>
      <c r="H3866" s="15">
        <f t="shared" si="767"/>
        <v>9862</v>
      </c>
      <c r="I3866" s="15">
        <f t="shared" si="771"/>
        <v>151</v>
      </c>
      <c r="J3866" s="15">
        <f t="shared" si="772"/>
        <v>133</v>
      </c>
      <c r="K3866" s="6">
        <f t="shared" si="773"/>
        <v>0</v>
      </c>
      <c r="L3866" s="6">
        <f t="shared" si="774"/>
        <v>1673474.9414748859</v>
      </c>
      <c r="M3866" s="6">
        <f t="shared" si="775"/>
        <v>-94672218.528004587</v>
      </c>
      <c r="N3866" s="6" t="str">
        <f t="shared" si="776"/>
        <v/>
      </c>
      <c r="O3866" s="10"/>
    </row>
    <row r="3867" spans="1:15">
      <c r="A3867" s="11" t="s">
        <v>1083</v>
      </c>
      <c r="B3867" s="6">
        <f t="shared" si="777"/>
        <v>0</v>
      </c>
      <c r="C3867" s="6">
        <f t="shared" si="778"/>
        <v>0</v>
      </c>
      <c r="D3867" s="6">
        <f t="shared" si="768"/>
        <v>0</v>
      </c>
      <c r="E3867" s="6">
        <f t="shared" si="769"/>
        <v>0</v>
      </c>
      <c r="F3867" s="15">
        <f t="shared" si="770"/>
        <v>60</v>
      </c>
      <c r="G3867" s="23">
        <v>143</v>
      </c>
      <c r="H3867" s="15">
        <f t="shared" si="767"/>
        <v>9863</v>
      </c>
      <c r="I3867" s="15">
        <f t="shared" si="771"/>
        <v>152</v>
      </c>
      <c r="J3867" s="15">
        <f t="shared" si="772"/>
        <v>134</v>
      </c>
      <c r="K3867" s="6">
        <f t="shared" si="773"/>
        <v>0</v>
      </c>
      <c r="L3867" s="6">
        <f t="shared" si="774"/>
        <v>1673474.9414748859</v>
      </c>
      <c r="M3867" s="6">
        <f t="shared" si="775"/>
        <v>-94672218.528004587</v>
      </c>
      <c r="N3867" s="6" t="str">
        <f t="shared" si="776"/>
        <v/>
      </c>
      <c r="O3867" s="10"/>
    </row>
    <row r="3868" spans="1:15">
      <c r="A3868" s="11" t="s">
        <v>1084</v>
      </c>
      <c r="B3868" s="6">
        <f t="shared" si="777"/>
        <v>0</v>
      </c>
      <c r="C3868" s="6">
        <f t="shared" si="778"/>
        <v>0</v>
      </c>
      <c r="D3868" s="6">
        <f t="shared" si="768"/>
        <v>0</v>
      </c>
      <c r="E3868" s="6">
        <f t="shared" si="769"/>
        <v>0</v>
      </c>
      <c r="F3868" s="15">
        <f t="shared" si="770"/>
        <v>60</v>
      </c>
      <c r="G3868" s="23">
        <v>144</v>
      </c>
      <c r="H3868" s="15">
        <f t="shared" si="767"/>
        <v>9864</v>
      </c>
      <c r="I3868" s="15">
        <f t="shared" si="771"/>
        <v>153</v>
      </c>
      <c r="J3868" s="15">
        <f t="shared" si="772"/>
        <v>135</v>
      </c>
      <c r="K3868" s="6">
        <f t="shared" si="773"/>
        <v>0</v>
      </c>
      <c r="L3868" s="6">
        <f t="shared" si="774"/>
        <v>1673474.9414748859</v>
      </c>
      <c r="M3868" s="6">
        <f t="shared" si="775"/>
        <v>-94672218.528004587</v>
      </c>
      <c r="N3868" s="6" t="str">
        <f t="shared" si="776"/>
        <v/>
      </c>
      <c r="O3868" s="10"/>
    </row>
    <row r="3869" spans="1:15">
      <c r="A3869" s="11" t="s">
        <v>1085</v>
      </c>
      <c r="B3869" s="6">
        <f t="shared" si="777"/>
        <v>0</v>
      </c>
      <c r="C3869" s="6">
        <f t="shared" si="778"/>
        <v>0</v>
      </c>
      <c r="D3869" s="6">
        <f t="shared" si="768"/>
        <v>0</v>
      </c>
      <c r="E3869" s="6">
        <f t="shared" si="769"/>
        <v>0</v>
      </c>
      <c r="F3869" s="15">
        <f t="shared" si="770"/>
        <v>60</v>
      </c>
      <c r="G3869" s="23">
        <v>145</v>
      </c>
      <c r="H3869" s="15">
        <f t="shared" si="767"/>
        <v>9865</v>
      </c>
      <c r="I3869" s="15">
        <f t="shared" si="771"/>
        <v>154</v>
      </c>
      <c r="J3869" s="15">
        <f t="shared" si="772"/>
        <v>136</v>
      </c>
      <c r="K3869" s="6">
        <f t="shared" si="773"/>
        <v>0</v>
      </c>
      <c r="L3869" s="6">
        <f t="shared" si="774"/>
        <v>1673474.9414748859</v>
      </c>
      <c r="M3869" s="6">
        <f t="shared" si="775"/>
        <v>-94672218.528004587</v>
      </c>
      <c r="N3869" s="6" t="str">
        <f t="shared" si="776"/>
        <v/>
      </c>
      <c r="O3869" s="10"/>
    </row>
    <row r="3870" spans="1:15">
      <c r="A3870" s="11" t="s">
        <v>1086</v>
      </c>
      <c r="B3870" s="6">
        <f t="shared" si="777"/>
        <v>0</v>
      </c>
      <c r="C3870" s="6">
        <f t="shared" si="778"/>
        <v>0</v>
      </c>
      <c r="D3870" s="6">
        <f t="shared" si="768"/>
        <v>0</v>
      </c>
      <c r="E3870" s="6">
        <f t="shared" si="769"/>
        <v>0</v>
      </c>
      <c r="F3870" s="15">
        <f t="shared" si="770"/>
        <v>60</v>
      </c>
      <c r="G3870" s="23">
        <v>146</v>
      </c>
      <c r="H3870" s="15">
        <f t="shared" si="767"/>
        <v>9866</v>
      </c>
      <c r="I3870" s="15">
        <f t="shared" si="771"/>
        <v>155</v>
      </c>
      <c r="J3870" s="15">
        <f t="shared" si="772"/>
        <v>137</v>
      </c>
      <c r="K3870" s="6">
        <f t="shared" si="773"/>
        <v>0</v>
      </c>
      <c r="L3870" s="6">
        <f t="shared" si="774"/>
        <v>1673474.9414748859</v>
      </c>
      <c r="M3870" s="6">
        <f t="shared" si="775"/>
        <v>-94672218.528004587</v>
      </c>
      <c r="N3870" s="6" t="str">
        <f t="shared" si="776"/>
        <v/>
      </c>
      <c r="O3870" s="10"/>
    </row>
    <row r="3871" spans="1:15">
      <c r="A3871" s="11" t="s">
        <v>1087</v>
      </c>
      <c r="B3871" s="6">
        <f t="shared" si="777"/>
        <v>-63.622821806031858</v>
      </c>
      <c r="C3871" s="6">
        <f t="shared" si="778"/>
        <v>5095.9247047846466</v>
      </c>
      <c r="D3871" s="6">
        <f t="shared" si="768"/>
        <v>0</v>
      </c>
      <c r="E3871" s="6">
        <f t="shared" si="769"/>
        <v>-324217.1094294691</v>
      </c>
      <c r="F3871" s="15">
        <f t="shared" si="770"/>
        <v>46</v>
      </c>
      <c r="G3871" s="23">
        <v>147</v>
      </c>
      <c r="H3871" s="15">
        <f t="shared" si="767"/>
        <v>7599</v>
      </c>
      <c r="I3871" s="15">
        <f t="shared" si="771"/>
        <v>46</v>
      </c>
      <c r="J3871" s="15">
        <f t="shared" si="772"/>
        <v>138</v>
      </c>
      <c r="K3871" s="6">
        <f t="shared" si="773"/>
        <v>0</v>
      </c>
      <c r="L3871" s="6">
        <f t="shared" si="774"/>
        <v>1673474.9414748859</v>
      </c>
      <c r="M3871" s="6">
        <f t="shared" si="775"/>
        <v>-94672218.528004587</v>
      </c>
      <c r="N3871" s="6" t="str">
        <f t="shared" si="776"/>
        <v/>
      </c>
      <c r="O3871" s="10"/>
    </row>
    <row r="3872" spans="1:15">
      <c r="A3872" s="11" t="s">
        <v>1088</v>
      </c>
      <c r="B3872" s="6">
        <f t="shared" si="777"/>
        <v>-50.597497627233885</v>
      </c>
      <c r="C3872" s="6">
        <f t="shared" si="778"/>
        <v>74.930561478491825</v>
      </c>
      <c r="D3872" s="6">
        <f t="shared" si="768"/>
        <v>0</v>
      </c>
      <c r="E3872" s="6">
        <f t="shared" si="769"/>
        <v>-3791.2989066152927</v>
      </c>
      <c r="F3872" s="15">
        <f t="shared" si="770"/>
        <v>50</v>
      </c>
      <c r="G3872" s="23">
        <v>148</v>
      </c>
      <c r="H3872" s="15">
        <f t="shared" si="767"/>
        <v>8248</v>
      </c>
      <c r="I3872" s="15">
        <f t="shared" si="771"/>
        <v>50</v>
      </c>
      <c r="J3872" s="15">
        <f t="shared" si="772"/>
        <v>139</v>
      </c>
      <c r="K3872" s="6">
        <f t="shared" si="773"/>
        <v>0</v>
      </c>
      <c r="L3872" s="6">
        <f t="shared" si="774"/>
        <v>1673474.9414748859</v>
      </c>
      <c r="M3872" s="6">
        <f t="shared" si="775"/>
        <v>-94672218.528004587</v>
      </c>
      <c r="N3872" s="6" t="str">
        <f t="shared" si="776"/>
        <v/>
      </c>
      <c r="O3872" s="10"/>
    </row>
    <row r="3873" spans="1:15">
      <c r="A3873" s="11" t="s">
        <v>1089</v>
      </c>
      <c r="B3873" s="6">
        <f t="shared" si="777"/>
        <v>-40.813402053145055</v>
      </c>
      <c r="C3873" s="6">
        <f t="shared" si="778"/>
        <v>5767.1781428174563</v>
      </c>
      <c r="D3873" s="6">
        <f t="shared" si="768"/>
        <v>0</v>
      </c>
      <c r="E3873" s="6">
        <f t="shared" si="769"/>
        <v>-235378.16025491926</v>
      </c>
      <c r="F3873" s="15">
        <f t="shared" si="770"/>
        <v>56</v>
      </c>
      <c r="G3873" s="23">
        <v>149</v>
      </c>
      <c r="H3873" s="15">
        <f t="shared" si="767"/>
        <v>9221</v>
      </c>
      <c r="I3873" s="15">
        <f t="shared" si="771"/>
        <v>56</v>
      </c>
      <c r="J3873" s="15">
        <f t="shared" si="772"/>
        <v>140</v>
      </c>
      <c r="K3873" s="6">
        <f t="shared" si="773"/>
        <v>0</v>
      </c>
      <c r="L3873" s="6">
        <f t="shared" si="774"/>
        <v>1673474.9414748859</v>
      </c>
      <c r="M3873" s="6">
        <f t="shared" si="775"/>
        <v>-94672218.528004587</v>
      </c>
      <c r="N3873" s="6" t="str">
        <f t="shared" si="776"/>
        <v/>
      </c>
      <c r="O3873" s="10"/>
    </row>
    <row r="3874" spans="1:15">
      <c r="A3874" s="11" t="s">
        <v>1090</v>
      </c>
      <c r="B3874" s="6">
        <f t="shared" si="777"/>
        <v>0</v>
      </c>
      <c r="C3874" s="6">
        <f t="shared" si="778"/>
        <v>0</v>
      </c>
      <c r="D3874" s="6">
        <f t="shared" si="768"/>
        <v>0</v>
      </c>
      <c r="E3874" s="6">
        <f t="shared" si="769"/>
        <v>0</v>
      </c>
      <c r="F3874" s="15">
        <f t="shared" si="770"/>
        <v>60</v>
      </c>
      <c r="G3874" s="23">
        <v>150</v>
      </c>
      <c r="H3874" s="15">
        <f t="shared" si="767"/>
        <v>9870</v>
      </c>
      <c r="I3874" s="15">
        <f t="shared" si="771"/>
        <v>156</v>
      </c>
      <c r="J3874" s="15">
        <f t="shared" si="772"/>
        <v>141</v>
      </c>
      <c r="K3874" s="6">
        <f t="shared" si="773"/>
        <v>0</v>
      </c>
      <c r="L3874" s="6">
        <f t="shared" si="774"/>
        <v>1673474.9414748859</v>
      </c>
      <c r="M3874" s="6">
        <f t="shared" si="775"/>
        <v>-94672218.528004587</v>
      </c>
      <c r="N3874" s="6" t="str">
        <f t="shared" si="776"/>
        <v/>
      </c>
      <c r="O3874" s="10"/>
    </row>
    <row r="3875" spans="1:15">
      <c r="A3875" s="11" t="s">
        <v>1091</v>
      </c>
      <c r="B3875" s="6">
        <f t="shared" si="777"/>
        <v>0</v>
      </c>
      <c r="C3875" s="6">
        <f t="shared" si="778"/>
        <v>0</v>
      </c>
      <c r="D3875" s="6">
        <f t="shared" si="768"/>
        <v>0</v>
      </c>
      <c r="E3875" s="6">
        <f t="shared" si="769"/>
        <v>0</v>
      </c>
      <c r="F3875" s="15">
        <f t="shared" si="770"/>
        <v>60</v>
      </c>
      <c r="G3875" s="23">
        <v>151</v>
      </c>
      <c r="H3875" s="15">
        <f t="shared" si="767"/>
        <v>9871</v>
      </c>
      <c r="I3875" s="15">
        <f t="shared" si="771"/>
        <v>157</v>
      </c>
      <c r="J3875" s="15">
        <f t="shared" si="772"/>
        <v>142</v>
      </c>
      <c r="K3875" s="6">
        <f t="shared" si="773"/>
        <v>0</v>
      </c>
      <c r="L3875" s="6">
        <f t="shared" si="774"/>
        <v>1673474.9414748859</v>
      </c>
      <c r="M3875" s="6">
        <f t="shared" si="775"/>
        <v>-94672218.528004587</v>
      </c>
      <c r="N3875" s="6" t="str">
        <f t="shared" si="776"/>
        <v/>
      </c>
      <c r="O3875" s="10"/>
    </row>
    <row r="3876" spans="1:15">
      <c r="A3876" s="11" t="s">
        <v>1092</v>
      </c>
      <c r="B3876" s="6">
        <f t="shared" si="777"/>
        <v>0</v>
      </c>
      <c r="C3876" s="6">
        <f t="shared" si="778"/>
        <v>0</v>
      </c>
      <c r="D3876" s="6">
        <f t="shared" si="768"/>
        <v>0</v>
      </c>
      <c r="E3876" s="6">
        <f t="shared" si="769"/>
        <v>0</v>
      </c>
      <c r="F3876" s="15">
        <f t="shared" si="770"/>
        <v>60</v>
      </c>
      <c r="G3876" s="23">
        <v>152</v>
      </c>
      <c r="H3876" s="15">
        <f t="shared" si="767"/>
        <v>9872</v>
      </c>
      <c r="I3876" s="15">
        <f t="shared" si="771"/>
        <v>158</v>
      </c>
      <c r="J3876" s="15">
        <f t="shared" si="772"/>
        <v>143</v>
      </c>
      <c r="K3876" s="6">
        <f t="shared" si="773"/>
        <v>0</v>
      </c>
      <c r="L3876" s="6">
        <f t="shared" si="774"/>
        <v>1673474.9414748859</v>
      </c>
      <c r="M3876" s="6">
        <f t="shared" si="775"/>
        <v>-94672218.528004587</v>
      </c>
      <c r="N3876" s="6" t="str">
        <f t="shared" si="776"/>
        <v/>
      </c>
      <c r="O3876" s="10"/>
    </row>
    <row r="3877" spans="1:15">
      <c r="A3877" s="11" t="s">
        <v>1093</v>
      </c>
      <c r="B3877" s="6">
        <f t="shared" si="777"/>
        <v>0</v>
      </c>
      <c r="C3877" s="6">
        <f t="shared" si="778"/>
        <v>0</v>
      </c>
      <c r="D3877" s="6">
        <f t="shared" si="768"/>
        <v>0</v>
      </c>
      <c r="E3877" s="6">
        <f t="shared" si="769"/>
        <v>0</v>
      </c>
      <c r="F3877" s="15">
        <f t="shared" si="770"/>
        <v>60</v>
      </c>
      <c r="G3877" s="23">
        <v>153</v>
      </c>
      <c r="H3877" s="15">
        <f t="shared" si="767"/>
        <v>9873</v>
      </c>
      <c r="I3877" s="15">
        <f t="shared" si="771"/>
        <v>159</v>
      </c>
      <c r="J3877" s="15">
        <f t="shared" si="772"/>
        <v>144</v>
      </c>
      <c r="K3877" s="6">
        <f t="shared" si="773"/>
        <v>0</v>
      </c>
      <c r="L3877" s="6">
        <f t="shared" si="774"/>
        <v>1673474.9414748859</v>
      </c>
      <c r="M3877" s="6">
        <f t="shared" si="775"/>
        <v>-94672218.528004587</v>
      </c>
      <c r="N3877" s="6" t="str">
        <f t="shared" si="776"/>
        <v/>
      </c>
      <c r="O3877" s="10"/>
    </row>
    <row r="3878" spans="1:15">
      <c r="A3878" s="11" t="s">
        <v>1094</v>
      </c>
      <c r="B3878" s="6">
        <f t="shared" si="777"/>
        <v>0</v>
      </c>
      <c r="C3878" s="6">
        <f t="shared" si="778"/>
        <v>0</v>
      </c>
      <c r="D3878" s="6">
        <f t="shared" si="768"/>
        <v>0</v>
      </c>
      <c r="E3878" s="6">
        <f t="shared" si="769"/>
        <v>0</v>
      </c>
      <c r="F3878" s="15">
        <f t="shared" si="770"/>
        <v>60</v>
      </c>
      <c r="G3878" s="23">
        <v>154</v>
      </c>
      <c r="H3878" s="15">
        <f t="shared" si="767"/>
        <v>9874</v>
      </c>
      <c r="I3878" s="15">
        <f t="shared" si="771"/>
        <v>160</v>
      </c>
      <c r="J3878" s="15">
        <f t="shared" si="772"/>
        <v>145</v>
      </c>
      <c r="K3878" s="6">
        <f t="shared" si="773"/>
        <v>0</v>
      </c>
      <c r="L3878" s="6">
        <f t="shared" si="774"/>
        <v>1673474.9414748859</v>
      </c>
      <c r="M3878" s="6">
        <f t="shared" si="775"/>
        <v>-94672218.528004587</v>
      </c>
      <c r="N3878" s="6" t="str">
        <f t="shared" si="776"/>
        <v/>
      </c>
      <c r="O3878" s="10"/>
    </row>
    <row r="3879" spans="1:15">
      <c r="A3879" s="11" t="s">
        <v>1095</v>
      </c>
      <c r="B3879" s="6">
        <f t="shared" si="777"/>
        <v>0</v>
      </c>
      <c r="C3879" s="6">
        <f t="shared" si="778"/>
        <v>0</v>
      </c>
      <c r="D3879" s="6">
        <f t="shared" si="768"/>
        <v>0</v>
      </c>
      <c r="E3879" s="6">
        <f t="shared" si="769"/>
        <v>0</v>
      </c>
      <c r="F3879" s="15">
        <f t="shared" si="770"/>
        <v>60</v>
      </c>
      <c r="G3879" s="23">
        <v>155</v>
      </c>
      <c r="H3879" s="15">
        <f t="shared" si="767"/>
        <v>9875</v>
      </c>
      <c r="I3879" s="15">
        <f t="shared" si="771"/>
        <v>161</v>
      </c>
      <c r="J3879" s="15">
        <f t="shared" si="772"/>
        <v>146</v>
      </c>
      <c r="K3879" s="6">
        <f t="shared" si="773"/>
        <v>0</v>
      </c>
      <c r="L3879" s="6">
        <f t="shared" si="774"/>
        <v>1673474.9414748859</v>
      </c>
      <c r="M3879" s="6">
        <f t="shared" si="775"/>
        <v>-94672218.528004587</v>
      </c>
      <c r="N3879" s="6" t="str">
        <f t="shared" si="776"/>
        <v/>
      </c>
      <c r="O3879" s="10"/>
    </row>
    <row r="3880" spans="1:15">
      <c r="A3880" s="11" t="s">
        <v>1096</v>
      </c>
      <c r="B3880" s="6">
        <f t="shared" si="777"/>
        <v>0</v>
      </c>
      <c r="C3880" s="6">
        <f t="shared" si="778"/>
        <v>0</v>
      </c>
      <c r="D3880" s="6">
        <f t="shared" si="768"/>
        <v>0</v>
      </c>
      <c r="E3880" s="6">
        <f t="shared" si="769"/>
        <v>0</v>
      </c>
      <c r="F3880" s="15">
        <f t="shared" si="770"/>
        <v>60</v>
      </c>
      <c r="G3880" s="23">
        <v>156</v>
      </c>
      <c r="H3880" s="15">
        <f t="shared" si="767"/>
        <v>9876</v>
      </c>
      <c r="I3880" s="15">
        <f t="shared" si="771"/>
        <v>162</v>
      </c>
      <c r="J3880" s="15">
        <f t="shared" si="772"/>
        <v>150</v>
      </c>
      <c r="K3880" s="6">
        <f t="shared" si="773"/>
        <v>0</v>
      </c>
      <c r="L3880" s="6">
        <f t="shared" si="774"/>
        <v>1673474.9414748859</v>
      </c>
      <c r="M3880" s="6">
        <f t="shared" si="775"/>
        <v>-94672218.528004587</v>
      </c>
      <c r="N3880" s="6" t="str">
        <f t="shared" si="776"/>
        <v/>
      </c>
      <c r="O3880" s="10"/>
    </row>
    <row r="3881" spans="1:15">
      <c r="A3881" s="11" t="s">
        <v>1097</v>
      </c>
      <c r="B3881" s="6">
        <f t="shared" si="777"/>
        <v>-89.516081666109756</v>
      </c>
      <c r="C3881" s="6">
        <f t="shared" si="778"/>
        <v>0</v>
      </c>
      <c r="D3881" s="6">
        <f t="shared" si="768"/>
        <v>0</v>
      </c>
      <c r="E3881" s="6">
        <f t="shared" si="769"/>
        <v>0</v>
      </c>
      <c r="F3881" s="15">
        <f t="shared" si="770"/>
        <v>23</v>
      </c>
      <c r="G3881" s="23">
        <v>157</v>
      </c>
      <c r="H3881" s="15">
        <f t="shared" si="767"/>
        <v>3883</v>
      </c>
      <c r="I3881" s="15">
        <f t="shared" si="771"/>
        <v>23</v>
      </c>
      <c r="J3881" s="15">
        <f t="shared" si="772"/>
        <v>151</v>
      </c>
      <c r="K3881" s="6">
        <f t="shared" si="773"/>
        <v>0</v>
      </c>
      <c r="L3881" s="6">
        <f t="shared" si="774"/>
        <v>1673474.9414748859</v>
      </c>
      <c r="M3881" s="6">
        <f t="shared" si="775"/>
        <v>-94672218.528004587</v>
      </c>
      <c r="N3881" s="6" t="str">
        <f t="shared" si="776"/>
        <v/>
      </c>
      <c r="O3881" s="10"/>
    </row>
    <row r="3882" spans="1:15">
      <c r="A3882" s="11" t="s">
        <v>1098</v>
      </c>
      <c r="B3882" s="6">
        <f t="shared" si="777"/>
        <v>-89.516081666109756</v>
      </c>
      <c r="C3882" s="6">
        <f t="shared" si="778"/>
        <v>0</v>
      </c>
      <c r="D3882" s="6">
        <f t="shared" si="768"/>
        <v>0</v>
      </c>
      <c r="E3882" s="6">
        <f t="shared" si="769"/>
        <v>0</v>
      </c>
      <c r="F3882" s="15">
        <f t="shared" si="770"/>
        <v>23</v>
      </c>
      <c r="G3882" s="23">
        <v>158</v>
      </c>
      <c r="H3882" s="15">
        <f t="shared" si="767"/>
        <v>3884</v>
      </c>
      <c r="I3882" s="15">
        <f t="shared" si="771"/>
        <v>24</v>
      </c>
      <c r="J3882" s="15">
        <f t="shared" si="772"/>
        <v>152</v>
      </c>
      <c r="K3882" s="6">
        <f t="shared" si="773"/>
        <v>0</v>
      </c>
      <c r="L3882" s="6">
        <f t="shared" si="774"/>
        <v>1673474.9414748859</v>
      </c>
      <c r="M3882" s="6">
        <f t="shared" si="775"/>
        <v>-94672218.528004587</v>
      </c>
      <c r="N3882" s="6" t="str">
        <f t="shared" si="776"/>
        <v/>
      </c>
      <c r="O3882" s="10"/>
    </row>
    <row r="3883" spans="1:15">
      <c r="A3883" s="11" t="s">
        <v>1099</v>
      </c>
      <c r="B3883" s="6">
        <f t="shared" si="777"/>
        <v>-79.902871061605751</v>
      </c>
      <c r="C3883" s="6">
        <f t="shared" si="778"/>
        <v>0</v>
      </c>
      <c r="D3883" s="6">
        <f t="shared" si="768"/>
        <v>0</v>
      </c>
      <c r="E3883" s="6">
        <f t="shared" si="769"/>
        <v>0</v>
      </c>
      <c r="F3883" s="15">
        <f t="shared" si="770"/>
        <v>25</v>
      </c>
      <c r="G3883" s="23">
        <v>159</v>
      </c>
      <c r="H3883" s="15">
        <f t="shared" si="767"/>
        <v>4209</v>
      </c>
      <c r="I3883" s="15">
        <f t="shared" si="771"/>
        <v>25</v>
      </c>
      <c r="J3883" s="15">
        <f t="shared" si="772"/>
        <v>153</v>
      </c>
      <c r="K3883" s="6">
        <f t="shared" si="773"/>
        <v>0</v>
      </c>
      <c r="L3883" s="6">
        <f t="shared" si="774"/>
        <v>1673474.9414748859</v>
      </c>
      <c r="M3883" s="6">
        <f t="shared" si="775"/>
        <v>-94672218.528004587</v>
      </c>
      <c r="N3883" s="6" t="str">
        <f t="shared" si="776"/>
        <v/>
      </c>
      <c r="O3883" s="10"/>
    </row>
    <row r="3884" spans="1:15">
      <c r="A3884" s="11" t="s">
        <v>1100</v>
      </c>
      <c r="B3884" s="6">
        <f t="shared" si="777"/>
        <v>-79.902871061605751</v>
      </c>
      <c r="C3884" s="6">
        <f t="shared" si="778"/>
        <v>0</v>
      </c>
      <c r="D3884" s="6">
        <f t="shared" si="768"/>
        <v>0</v>
      </c>
      <c r="E3884" s="6">
        <f t="shared" si="769"/>
        <v>0</v>
      </c>
      <c r="F3884" s="15">
        <f t="shared" si="770"/>
        <v>25</v>
      </c>
      <c r="G3884" s="23">
        <v>160</v>
      </c>
      <c r="H3884" s="15">
        <f t="shared" ref="H3884:H3886" si="779">F3884*162+G3884</f>
        <v>4210</v>
      </c>
      <c r="I3884" s="15">
        <f t="shared" si="771"/>
        <v>26</v>
      </c>
      <c r="J3884" s="15">
        <f t="shared" si="772"/>
        <v>154</v>
      </c>
      <c r="K3884" s="6">
        <f t="shared" si="773"/>
        <v>0</v>
      </c>
      <c r="L3884" s="6">
        <f t="shared" si="774"/>
        <v>1673474.9414748859</v>
      </c>
      <c r="M3884" s="6">
        <f t="shared" si="775"/>
        <v>-94672218.528004587</v>
      </c>
      <c r="N3884" s="6" t="str">
        <f t="shared" si="776"/>
        <v/>
      </c>
      <c r="O3884" s="10"/>
    </row>
    <row r="3885" spans="1:15">
      <c r="A3885" s="11" t="s">
        <v>1101</v>
      </c>
      <c r="B3885" s="6">
        <f t="shared" si="777"/>
        <v>-66.692296565100293</v>
      </c>
      <c r="C3885" s="6">
        <f t="shared" si="778"/>
        <v>0</v>
      </c>
      <c r="D3885" s="6">
        <f t="shared" ref="D3885:D3886" si="780">IF(ISERROR(B3885),C3885,0)</f>
        <v>0</v>
      </c>
      <c r="E3885" s="6">
        <f t="shared" si="769"/>
        <v>0</v>
      </c>
      <c r="F3885" s="15">
        <f t="shared" si="770"/>
        <v>41</v>
      </c>
      <c r="G3885" s="23">
        <v>161</v>
      </c>
      <c r="H3885" s="15">
        <f t="shared" si="779"/>
        <v>6803</v>
      </c>
      <c r="I3885" s="15">
        <f t="shared" ref="I3885:I3886" si="781">RANK(H3885,H$3725:H$3886,1)</f>
        <v>41</v>
      </c>
      <c r="J3885" s="15">
        <f t="shared" ref="J3885:J3886" si="782">MATCH(G3885,I$3725:I$3886,0)</f>
        <v>155</v>
      </c>
      <c r="K3885" s="6">
        <f t="shared" ref="K3885:K3886" si="783">INDEX(B$3725:B$3886,J3885,1)</f>
        <v>0</v>
      </c>
      <c r="L3885" s="6">
        <f t="shared" si="774"/>
        <v>1673474.9414748859</v>
      </c>
      <c r="M3885" s="6">
        <f t="shared" si="775"/>
        <v>-94672218.528004587</v>
      </c>
      <c r="N3885" s="6" t="str">
        <f t="shared" ref="N3885:N3886" si="784">IF((M3884&gt;0)=(M3885&gt;0),"",K3885-M3885/L3884)</f>
        <v/>
      </c>
      <c r="O3885" s="10"/>
    </row>
    <row r="3886" spans="1:15">
      <c r="A3886" s="11" t="s">
        <v>1102</v>
      </c>
      <c r="B3886" s="6">
        <f t="shared" si="777"/>
        <v>-66.692296565100293</v>
      </c>
      <c r="C3886" s="6">
        <f t="shared" si="778"/>
        <v>0</v>
      </c>
      <c r="D3886" s="6">
        <f t="shared" si="780"/>
        <v>0</v>
      </c>
      <c r="E3886" s="6">
        <f t="shared" si="769"/>
        <v>0</v>
      </c>
      <c r="F3886" s="15">
        <f t="shared" si="770"/>
        <v>41</v>
      </c>
      <c r="G3886" s="23">
        <v>162</v>
      </c>
      <c r="H3886" s="15">
        <f t="shared" si="779"/>
        <v>6804</v>
      </c>
      <c r="I3886" s="15">
        <f t="shared" si="781"/>
        <v>42</v>
      </c>
      <c r="J3886" s="15">
        <f t="shared" si="782"/>
        <v>156</v>
      </c>
      <c r="K3886" s="6">
        <f t="shared" si="783"/>
        <v>0</v>
      </c>
      <c r="L3886" s="6">
        <f t="shared" si="774"/>
        <v>1673474.9414748859</v>
      </c>
      <c r="M3886" s="6">
        <f t="shared" si="775"/>
        <v>-94672218.528004587</v>
      </c>
      <c r="N3886" s="6" t="str">
        <f t="shared" si="784"/>
        <v/>
      </c>
      <c r="O3886" s="10"/>
    </row>
    <row r="3888" spans="1:15" ht="21" customHeight="1">
      <c r="A3888" s="1" t="s">
        <v>1103</v>
      </c>
    </row>
    <row r="3889" spans="1:3">
      <c r="A3889" s="2" t="s">
        <v>255</v>
      </c>
    </row>
    <row r="3890" spans="1:3">
      <c r="A3890" s="12" t="s">
        <v>1104</v>
      </c>
    </row>
    <row r="3891" spans="1:3">
      <c r="A3891" s="2" t="s">
        <v>1105</v>
      </c>
    </row>
    <row r="3893" spans="1:3">
      <c r="B3893" s="3" t="s">
        <v>1106</v>
      </c>
    </row>
    <row r="3894" spans="1:3">
      <c r="A3894" s="11" t="s">
        <v>1106</v>
      </c>
      <c r="B3894" s="6">
        <f>MIN($N$3724:$N$3886)</f>
        <v>56.572235521236429</v>
      </c>
      <c r="C3894" s="10"/>
    </row>
    <row r="3896" spans="1:3" ht="21" customHeight="1">
      <c r="A3896" s="1" t="s">
        <v>1107</v>
      </c>
    </row>
    <row r="3897" spans="1:3">
      <c r="A3897" s="2" t="s">
        <v>255</v>
      </c>
    </row>
    <row r="3898" spans="1:3">
      <c r="A3898" s="12" t="s">
        <v>750</v>
      </c>
    </row>
    <row r="3899" spans="1:3">
      <c r="A3899" s="12" t="s">
        <v>864</v>
      </c>
    </row>
    <row r="3900" spans="1:3">
      <c r="A3900" s="12" t="s">
        <v>1108</v>
      </c>
    </row>
    <row r="3901" spans="1:3">
      <c r="A3901" s="12" t="s">
        <v>1109</v>
      </c>
    </row>
    <row r="3902" spans="1:3">
      <c r="A3902" s="12" t="s">
        <v>1110</v>
      </c>
    </row>
    <row r="3903" spans="1:3">
      <c r="A3903" s="12" t="s">
        <v>1111</v>
      </c>
    </row>
    <row r="3904" spans="1:3">
      <c r="A3904" s="12" t="s">
        <v>1112</v>
      </c>
    </row>
    <row r="3905" spans="1:1">
      <c r="A3905" s="12" t="s">
        <v>1113</v>
      </c>
    </row>
    <row r="3906" spans="1:1">
      <c r="A3906" s="12" t="s">
        <v>1114</v>
      </c>
    </row>
    <row r="3907" spans="1:1">
      <c r="A3907" s="12" t="s">
        <v>1115</v>
      </c>
    </row>
    <row r="3908" spans="1:1">
      <c r="A3908" s="12" t="s">
        <v>873</v>
      </c>
    </row>
    <row r="3909" spans="1:1">
      <c r="A3909" s="12" t="s">
        <v>1116</v>
      </c>
    </row>
    <row r="3910" spans="1:1">
      <c r="A3910" s="12" t="s">
        <v>875</v>
      </c>
    </row>
    <row r="3911" spans="1:1">
      <c r="A3911" s="12" t="s">
        <v>1117</v>
      </c>
    </row>
    <row r="3912" spans="1:1">
      <c r="A3912" s="12" t="s">
        <v>1118</v>
      </c>
    </row>
    <row r="3913" spans="1:1">
      <c r="A3913" s="12" t="s">
        <v>1119</v>
      </c>
    </row>
    <row r="3914" spans="1:1">
      <c r="A3914" s="12" t="s">
        <v>1120</v>
      </c>
    </row>
    <row r="3915" spans="1:1">
      <c r="A3915" s="12" t="s">
        <v>1121</v>
      </c>
    </row>
    <row r="3916" spans="1:1">
      <c r="A3916" s="12" t="s">
        <v>1122</v>
      </c>
    </row>
    <row r="3917" spans="1:1">
      <c r="A3917" s="12" t="s">
        <v>1123</v>
      </c>
    </row>
    <row r="3918" spans="1:1">
      <c r="A3918" s="12" t="s">
        <v>1124</v>
      </c>
    </row>
    <row r="3919" spans="1:1">
      <c r="A3919" s="12" t="s">
        <v>1125</v>
      </c>
    </row>
    <row r="3920" spans="1:1">
      <c r="A3920" s="12" t="s">
        <v>1126</v>
      </c>
    </row>
    <row r="3921" spans="1:9">
      <c r="A3921" s="12" t="s">
        <v>1127</v>
      </c>
    </row>
    <row r="3922" spans="1:9">
      <c r="A3922" s="12" t="s">
        <v>1128</v>
      </c>
    </row>
    <row r="3923" spans="1:9">
      <c r="A3923" s="12" t="s">
        <v>1129</v>
      </c>
    </row>
    <row r="3924" spans="1:9">
      <c r="A3924" s="12" t="s">
        <v>1130</v>
      </c>
    </row>
    <row r="3925" spans="1:9">
      <c r="A3925" s="21" t="s">
        <v>258</v>
      </c>
      <c r="B3925" s="21" t="s">
        <v>385</v>
      </c>
      <c r="C3925" s="21" t="s">
        <v>385</v>
      </c>
      <c r="D3925" s="21" t="s">
        <v>385</v>
      </c>
      <c r="E3925" s="21" t="s">
        <v>385</v>
      </c>
      <c r="F3925" s="21" t="s">
        <v>385</v>
      </c>
      <c r="G3925" s="21" t="s">
        <v>385</v>
      </c>
      <c r="H3925" s="21" t="s">
        <v>385</v>
      </c>
    </row>
    <row r="3926" spans="1:9" ht="45">
      <c r="A3926" s="21" t="s">
        <v>261</v>
      </c>
      <c r="B3926" s="21" t="s">
        <v>1131</v>
      </c>
      <c r="C3926" s="21" t="s">
        <v>1132</v>
      </c>
      <c r="D3926" s="21" t="s">
        <v>1133</v>
      </c>
      <c r="E3926" s="21" t="s">
        <v>1134</v>
      </c>
      <c r="F3926" s="21" t="s">
        <v>1135</v>
      </c>
      <c r="G3926" s="21" t="s">
        <v>1136</v>
      </c>
      <c r="H3926" s="21" t="s">
        <v>1137</v>
      </c>
    </row>
    <row r="3928" spans="1:9" ht="30">
      <c r="B3928" s="3" t="s">
        <v>1138</v>
      </c>
      <c r="C3928" s="3" t="s">
        <v>1139</v>
      </c>
      <c r="D3928" s="3" t="s">
        <v>1140</v>
      </c>
      <c r="E3928" s="3" t="s">
        <v>1141</v>
      </c>
      <c r="F3928" s="3" t="s">
        <v>1142</v>
      </c>
      <c r="G3928" s="3" t="s">
        <v>1143</v>
      </c>
      <c r="H3928" s="3" t="s">
        <v>1144</v>
      </c>
    </row>
    <row r="3929" spans="1:9">
      <c r="A3929" s="11" t="s">
        <v>92</v>
      </c>
      <c r="B3929" s="6">
        <f t="shared" ref="B3929:B3955" si="785">IF($B914&lt;0,0,IF($B3541*$B$3894+$B3421&gt;0,$B3541*$B$3894,0-$B3421))</f>
        <v>1.3618683218881369</v>
      </c>
      <c r="C3929" s="6">
        <f t="shared" ref="C3929:C3955" si="786">IF($B914&lt;0,0,IF($C3541*$B$3894+$C3421&gt;0,$C3541*$B$3894,0-$C3421))</f>
        <v>0</v>
      </c>
      <c r="D3929" s="6">
        <f t="shared" ref="D3929:D3955" si="787">IF($B914&lt;0,0,IF($D3541*$B$3894+$D3421&gt;0,$D3541*$B$3894,0-$D3421))</f>
        <v>0</v>
      </c>
      <c r="E3929" s="6">
        <f t="shared" ref="E3929:E3955" si="788">IF($B914&lt;0,0,IF($E3541*$B$3894+$E3421&gt;0,$E3541*$B$3894,0-$E3421))</f>
        <v>0</v>
      </c>
      <c r="F3929" s="6">
        <f t="shared" ref="F3929:F3955" si="789">IF($B914&lt;0,0,IF($F3541*$B$3894+$F3421&gt;0,$F3541*$B$3894,0-$F3421))</f>
        <v>0</v>
      </c>
      <c r="G3929" s="6">
        <f t="shared" ref="G3929:G3955" si="790">IF($B914&lt;0,0,IF($G3541*$B$3894+$G3421&gt;0,$G3541*$B$3894,0-$G3421))</f>
        <v>0</v>
      </c>
      <c r="H3929" s="15">
        <f t="shared" ref="H3929:H3955" si="791">0.01*$F$14*(E3929*$E1170+F3929*$F1170)+10*(B3929*$B1170+C3929*$C1170+D3929*$D1170+G3929*$G1170)</f>
        <v>44237985.702931434</v>
      </c>
      <c r="I3929" s="10"/>
    </row>
    <row r="3930" spans="1:9">
      <c r="A3930" s="11" t="s">
        <v>93</v>
      </c>
      <c r="B3930" s="6">
        <f t="shared" si="785"/>
        <v>1.5040467647196922</v>
      </c>
      <c r="C3930" s="6">
        <f t="shared" si="786"/>
        <v>3.9055187317146141E-2</v>
      </c>
      <c r="D3930" s="6">
        <f t="shared" si="787"/>
        <v>0</v>
      </c>
      <c r="E3930" s="6">
        <f t="shared" si="788"/>
        <v>0</v>
      </c>
      <c r="F3930" s="6">
        <f t="shared" si="789"/>
        <v>0</v>
      </c>
      <c r="G3930" s="6">
        <f t="shared" si="790"/>
        <v>0</v>
      </c>
      <c r="H3930" s="15">
        <f t="shared" si="791"/>
        <v>2706251.4847043464</v>
      </c>
      <c r="I3930" s="10"/>
    </row>
    <row r="3931" spans="1:9">
      <c r="A3931" s="11" t="s">
        <v>129</v>
      </c>
      <c r="B3931" s="6">
        <f t="shared" si="785"/>
        <v>0.10806153416618525</v>
      </c>
      <c r="C3931" s="6">
        <f t="shared" si="786"/>
        <v>0</v>
      </c>
      <c r="D3931" s="6">
        <f t="shared" si="787"/>
        <v>0</v>
      </c>
      <c r="E3931" s="6">
        <f t="shared" si="788"/>
        <v>0</v>
      </c>
      <c r="F3931" s="6">
        <f t="shared" si="789"/>
        <v>0</v>
      </c>
      <c r="G3931" s="6">
        <f t="shared" si="790"/>
        <v>0</v>
      </c>
      <c r="H3931" s="15">
        <f t="shared" si="791"/>
        <v>3904.418943472353</v>
      </c>
      <c r="I3931" s="10"/>
    </row>
    <row r="3932" spans="1:9">
      <c r="A3932" s="11" t="s">
        <v>94</v>
      </c>
      <c r="B3932" s="6">
        <f t="shared" si="785"/>
        <v>1.0711035571319867</v>
      </c>
      <c r="C3932" s="6">
        <f t="shared" si="786"/>
        <v>0</v>
      </c>
      <c r="D3932" s="6">
        <f t="shared" si="787"/>
        <v>0</v>
      </c>
      <c r="E3932" s="6">
        <f t="shared" si="788"/>
        <v>0</v>
      </c>
      <c r="F3932" s="6">
        <f t="shared" si="789"/>
        <v>0</v>
      </c>
      <c r="G3932" s="6">
        <f t="shared" si="790"/>
        <v>0</v>
      </c>
      <c r="H3932" s="15">
        <f t="shared" si="791"/>
        <v>8828237.7636840735</v>
      </c>
      <c r="I3932" s="10"/>
    </row>
    <row r="3933" spans="1:9">
      <c r="A3933" s="11" t="s">
        <v>95</v>
      </c>
      <c r="B3933" s="6">
        <f t="shared" si="785"/>
        <v>1.4079358007013836</v>
      </c>
      <c r="C3933" s="6">
        <f t="shared" si="786"/>
        <v>6.3031125947546326E-2</v>
      </c>
      <c r="D3933" s="6">
        <f t="shared" si="787"/>
        <v>0</v>
      </c>
      <c r="E3933" s="6">
        <f t="shared" si="788"/>
        <v>0</v>
      </c>
      <c r="F3933" s="6">
        <f t="shared" si="789"/>
        <v>0</v>
      </c>
      <c r="G3933" s="6">
        <f t="shared" si="790"/>
        <v>0</v>
      </c>
      <c r="H3933" s="15">
        <f t="shared" si="791"/>
        <v>2974468.5173053872</v>
      </c>
      <c r="I3933" s="10"/>
    </row>
    <row r="3934" spans="1:9">
      <c r="A3934" s="11" t="s">
        <v>130</v>
      </c>
      <c r="B3934" s="6">
        <f t="shared" si="785"/>
        <v>0.11353332739920638</v>
      </c>
      <c r="C3934" s="6">
        <f t="shared" si="786"/>
        <v>0</v>
      </c>
      <c r="D3934" s="6">
        <f t="shared" si="787"/>
        <v>0</v>
      </c>
      <c r="E3934" s="6">
        <f t="shared" si="788"/>
        <v>0</v>
      </c>
      <c r="F3934" s="6">
        <f t="shared" si="789"/>
        <v>0</v>
      </c>
      <c r="G3934" s="6">
        <f t="shared" si="790"/>
        <v>0</v>
      </c>
      <c r="H3934" s="15">
        <f t="shared" si="791"/>
        <v>2568.3615584689733</v>
      </c>
      <c r="I3934" s="10"/>
    </row>
    <row r="3935" spans="1:9">
      <c r="A3935" s="11" t="s">
        <v>96</v>
      </c>
      <c r="B3935" s="6">
        <f t="shared" si="785"/>
        <v>1.3136856370793615</v>
      </c>
      <c r="C3935" s="6">
        <f t="shared" si="786"/>
        <v>1.5890214624655206E-2</v>
      </c>
      <c r="D3935" s="6">
        <f t="shared" si="787"/>
        <v>0</v>
      </c>
      <c r="E3935" s="6">
        <f t="shared" si="788"/>
        <v>0</v>
      </c>
      <c r="F3935" s="6">
        <f t="shared" si="789"/>
        <v>0</v>
      </c>
      <c r="G3935" s="6">
        <f t="shared" si="790"/>
        <v>0</v>
      </c>
      <c r="H3935" s="15">
        <f t="shared" si="791"/>
        <v>5011215.7421229389</v>
      </c>
      <c r="I3935" s="10"/>
    </row>
    <row r="3936" spans="1:9">
      <c r="A3936" s="11" t="s">
        <v>97</v>
      </c>
      <c r="B3936" s="6">
        <f t="shared" si="785"/>
        <v>1.3049697677500569</v>
      </c>
      <c r="C3936" s="6">
        <f t="shared" si="786"/>
        <v>1.4432584482102363E-2</v>
      </c>
      <c r="D3936" s="6">
        <f t="shared" si="787"/>
        <v>0</v>
      </c>
      <c r="E3936" s="6">
        <f t="shared" si="788"/>
        <v>0</v>
      </c>
      <c r="F3936" s="6">
        <f t="shared" si="789"/>
        <v>0</v>
      </c>
      <c r="G3936" s="6">
        <f t="shared" si="790"/>
        <v>0</v>
      </c>
      <c r="H3936" s="15">
        <f t="shared" si="791"/>
        <v>6766.9795201644356</v>
      </c>
      <c r="I3936" s="10"/>
    </row>
    <row r="3937" spans="1:9">
      <c r="A3937" s="11" t="s">
        <v>110</v>
      </c>
      <c r="B3937" s="6">
        <f t="shared" si="785"/>
        <v>1.2121600633274374</v>
      </c>
      <c r="C3937" s="6">
        <f t="shared" si="786"/>
        <v>1.3917656864632534E-2</v>
      </c>
      <c r="D3937" s="6">
        <f t="shared" si="787"/>
        <v>0</v>
      </c>
      <c r="E3937" s="6">
        <f t="shared" si="788"/>
        <v>0</v>
      </c>
      <c r="F3937" s="6">
        <f t="shared" si="789"/>
        <v>0</v>
      </c>
      <c r="G3937" s="6">
        <f t="shared" si="790"/>
        <v>0</v>
      </c>
      <c r="H3937" s="15">
        <f t="shared" si="791"/>
        <v>9157.4199776996229</v>
      </c>
      <c r="I3937" s="10"/>
    </row>
    <row r="3938" spans="1:9">
      <c r="A3938" s="11" t="s">
        <v>1647</v>
      </c>
      <c r="B3938" s="6">
        <f t="shared" si="785"/>
        <v>8.2646022888551123</v>
      </c>
      <c r="C3938" s="6">
        <f t="shared" si="786"/>
        <v>0.83354658791195335</v>
      </c>
      <c r="D3938" s="6">
        <f t="shared" si="787"/>
        <v>1.2603356063697169E-2</v>
      </c>
      <c r="E3938" s="6">
        <f t="shared" si="788"/>
        <v>0</v>
      </c>
      <c r="F3938" s="6">
        <f t="shared" si="789"/>
        <v>0</v>
      </c>
      <c r="G3938" s="6">
        <f t="shared" si="790"/>
        <v>0</v>
      </c>
      <c r="H3938" s="15">
        <f t="shared" si="791"/>
        <v>0</v>
      </c>
      <c r="I3938" s="10"/>
    </row>
    <row r="3939" spans="1:9">
      <c r="A3939" s="11" t="s">
        <v>1646</v>
      </c>
      <c r="B3939" s="6">
        <f t="shared" si="785"/>
        <v>8.2864616129955913</v>
      </c>
      <c r="C3939" s="6">
        <f t="shared" si="786"/>
        <v>0.83575126327496863</v>
      </c>
      <c r="D3939" s="6">
        <f t="shared" si="787"/>
        <v>1.2636691103403286E-2</v>
      </c>
      <c r="E3939" s="6">
        <f t="shared" si="788"/>
        <v>0</v>
      </c>
      <c r="F3939" s="6">
        <f t="shared" si="789"/>
        <v>0</v>
      </c>
      <c r="G3939" s="6">
        <f t="shared" si="790"/>
        <v>0</v>
      </c>
      <c r="H3939" s="15">
        <f t="shared" si="791"/>
        <v>0</v>
      </c>
      <c r="I3939" s="10"/>
    </row>
    <row r="3940" spans="1:9">
      <c r="A3940" s="11" t="s">
        <v>98</v>
      </c>
      <c r="B3940" s="6">
        <f t="shared" si="785"/>
        <v>6.8694880068375248</v>
      </c>
      <c r="C3940" s="6">
        <f t="shared" si="786"/>
        <v>0.69283893993581724</v>
      </c>
      <c r="D3940" s="6">
        <f t="shared" si="787"/>
        <v>1.0475834202236533E-2</v>
      </c>
      <c r="E3940" s="6">
        <f t="shared" si="788"/>
        <v>0</v>
      </c>
      <c r="F3940" s="6">
        <f t="shared" si="789"/>
        <v>0</v>
      </c>
      <c r="G3940" s="6">
        <f t="shared" si="790"/>
        <v>0.23754035900567791</v>
      </c>
      <c r="H3940" s="15">
        <f t="shared" si="791"/>
        <v>12255601.78719735</v>
      </c>
      <c r="I3940" s="10"/>
    </row>
    <row r="3941" spans="1:9">
      <c r="A3941" s="11" t="s">
        <v>99</v>
      </c>
      <c r="B3941" s="6">
        <f t="shared" si="785"/>
        <v>6.0871925996122318</v>
      </c>
      <c r="C3941" s="6">
        <f t="shared" si="786"/>
        <v>0.61393863177323671</v>
      </c>
      <c r="D3941" s="6">
        <f t="shared" si="787"/>
        <v>9.282849080913631E-3</v>
      </c>
      <c r="E3941" s="6">
        <f t="shared" si="788"/>
        <v>0</v>
      </c>
      <c r="F3941" s="6">
        <f t="shared" si="789"/>
        <v>0</v>
      </c>
      <c r="G3941" s="6">
        <f t="shared" si="790"/>
        <v>0.23294280367008416</v>
      </c>
      <c r="H3941" s="15">
        <f t="shared" si="791"/>
        <v>155309.35460146534</v>
      </c>
      <c r="I3941" s="10"/>
    </row>
    <row r="3942" spans="1:9">
      <c r="A3942" s="11" t="s">
        <v>111</v>
      </c>
      <c r="B3942" s="6">
        <f t="shared" si="785"/>
        <v>6.1921323508555881</v>
      </c>
      <c r="C3942" s="6">
        <f t="shared" si="786"/>
        <v>0.62452258591016896</v>
      </c>
      <c r="D3942" s="6">
        <f t="shared" si="787"/>
        <v>9.4428801391460773E-3</v>
      </c>
      <c r="E3942" s="6">
        <f t="shared" si="788"/>
        <v>0</v>
      </c>
      <c r="F3942" s="6">
        <f t="shared" si="789"/>
        <v>0</v>
      </c>
      <c r="G3942" s="6">
        <f t="shared" si="790"/>
        <v>0.20255208104541586</v>
      </c>
      <c r="H3942" s="15">
        <f t="shared" si="791"/>
        <v>17218382.990171298</v>
      </c>
      <c r="I3942" s="10"/>
    </row>
    <row r="3943" spans="1:9">
      <c r="A3943" s="11" t="s">
        <v>131</v>
      </c>
      <c r="B3943" s="6">
        <f t="shared" si="785"/>
        <v>0.7281362984968659</v>
      </c>
      <c r="C3943" s="6">
        <f t="shared" si="786"/>
        <v>0</v>
      </c>
      <c r="D3943" s="6">
        <f t="shared" si="787"/>
        <v>0</v>
      </c>
      <c r="E3943" s="6">
        <f t="shared" si="788"/>
        <v>0</v>
      </c>
      <c r="F3943" s="6">
        <f t="shared" si="789"/>
        <v>0</v>
      </c>
      <c r="G3943" s="6">
        <f t="shared" si="790"/>
        <v>0</v>
      </c>
      <c r="H3943" s="15">
        <f t="shared" si="791"/>
        <v>55984.722158368684</v>
      </c>
      <c r="I3943" s="10"/>
    </row>
    <row r="3944" spans="1:9">
      <c r="A3944" s="11" t="s">
        <v>132</v>
      </c>
      <c r="B3944" s="6">
        <f t="shared" si="785"/>
        <v>0.75361745370456124</v>
      </c>
      <c r="C3944" s="6">
        <f t="shared" si="786"/>
        <v>0</v>
      </c>
      <c r="D3944" s="6">
        <f t="shared" si="787"/>
        <v>0</v>
      </c>
      <c r="E3944" s="6">
        <f t="shared" si="788"/>
        <v>0</v>
      </c>
      <c r="F3944" s="6">
        <f t="shared" si="789"/>
        <v>0</v>
      </c>
      <c r="G3944" s="6">
        <f t="shared" si="790"/>
        <v>0</v>
      </c>
      <c r="H3944" s="15">
        <f t="shared" si="791"/>
        <v>45592.613407058612</v>
      </c>
      <c r="I3944" s="10"/>
    </row>
    <row r="3945" spans="1:9">
      <c r="A3945" s="11" t="s">
        <v>133</v>
      </c>
      <c r="B3945" s="6">
        <f t="shared" si="785"/>
        <v>1.2957863475444431</v>
      </c>
      <c r="C3945" s="6">
        <f t="shared" si="786"/>
        <v>0</v>
      </c>
      <c r="D3945" s="6">
        <f t="shared" si="787"/>
        <v>0</v>
      </c>
      <c r="E3945" s="6">
        <f t="shared" si="788"/>
        <v>0</v>
      </c>
      <c r="F3945" s="6">
        <f t="shared" si="789"/>
        <v>0</v>
      </c>
      <c r="G3945" s="6">
        <f t="shared" si="790"/>
        <v>0</v>
      </c>
      <c r="H3945" s="15">
        <f t="shared" si="791"/>
        <v>4901.5759431935903</v>
      </c>
      <c r="I3945" s="10"/>
    </row>
    <row r="3946" spans="1:9">
      <c r="A3946" s="11" t="s">
        <v>134</v>
      </c>
      <c r="B3946" s="6">
        <f t="shared" si="785"/>
        <v>0.70954865872878792</v>
      </c>
      <c r="C3946" s="6">
        <f t="shared" si="786"/>
        <v>0</v>
      </c>
      <c r="D3946" s="6">
        <f t="shared" si="787"/>
        <v>0</v>
      </c>
      <c r="E3946" s="6">
        <f t="shared" si="788"/>
        <v>0</v>
      </c>
      <c r="F3946" s="6">
        <f t="shared" si="789"/>
        <v>0</v>
      </c>
      <c r="G3946" s="6">
        <f t="shared" si="790"/>
        <v>0</v>
      </c>
      <c r="H3946" s="15">
        <f t="shared" si="791"/>
        <v>0</v>
      </c>
      <c r="I3946" s="10"/>
    </row>
    <row r="3947" spans="1:9">
      <c r="A3947" s="11" t="s">
        <v>135</v>
      </c>
      <c r="B3947" s="6">
        <f t="shared" si="785"/>
        <v>13.230995051941376</v>
      </c>
      <c r="C3947" s="6">
        <f t="shared" si="786"/>
        <v>0.89736110105208122</v>
      </c>
      <c r="D3947" s="6">
        <f t="shared" si="787"/>
        <v>9.3005098657652097E-3</v>
      </c>
      <c r="E3947" s="6">
        <f t="shared" si="788"/>
        <v>0</v>
      </c>
      <c r="F3947" s="6">
        <f t="shared" si="789"/>
        <v>0</v>
      </c>
      <c r="G3947" s="6">
        <f t="shared" si="790"/>
        <v>0</v>
      </c>
      <c r="H3947" s="15">
        <f t="shared" si="791"/>
        <v>1155889.0937778661</v>
      </c>
      <c r="I3947" s="10"/>
    </row>
    <row r="3948" spans="1:9">
      <c r="A3948" s="11" t="s">
        <v>1645</v>
      </c>
      <c r="B3948" s="6">
        <f t="shared" si="785"/>
        <v>0</v>
      </c>
      <c r="C3948" s="6">
        <f t="shared" si="786"/>
        <v>0</v>
      </c>
      <c r="D3948" s="6">
        <f t="shared" si="787"/>
        <v>0</v>
      </c>
      <c r="E3948" s="6">
        <f t="shared" si="788"/>
        <v>0</v>
      </c>
      <c r="F3948" s="6">
        <f t="shared" si="789"/>
        <v>0</v>
      </c>
      <c r="G3948" s="6">
        <f t="shared" si="790"/>
        <v>0</v>
      </c>
      <c r="H3948" s="15">
        <f t="shared" si="791"/>
        <v>0</v>
      </c>
      <c r="I3948" s="10"/>
    </row>
    <row r="3949" spans="1:9">
      <c r="A3949" s="11" t="s">
        <v>100</v>
      </c>
      <c r="B3949" s="6">
        <f t="shared" si="785"/>
        <v>0</v>
      </c>
      <c r="C3949" s="6">
        <f t="shared" si="786"/>
        <v>0</v>
      </c>
      <c r="D3949" s="6">
        <f t="shared" si="787"/>
        <v>0</v>
      </c>
      <c r="E3949" s="6">
        <f t="shared" si="788"/>
        <v>0</v>
      </c>
      <c r="F3949" s="6">
        <f t="shared" si="789"/>
        <v>0</v>
      </c>
      <c r="G3949" s="6">
        <f t="shared" si="790"/>
        <v>0</v>
      </c>
      <c r="H3949" s="15">
        <f t="shared" si="791"/>
        <v>0</v>
      </c>
      <c r="I3949" s="10"/>
    </row>
    <row r="3950" spans="1:9">
      <c r="A3950" s="11" t="s">
        <v>101</v>
      </c>
      <c r="B3950" s="6">
        <f t="shared" si="785"/>
        <v>0</v>
      </c>
      <c r="C3950" s="6">
        <f t="shared" si="786"/>
        <v>0</v>
      </c>
      <c r="D3950" s="6">
        <f t="shared" si="787"/>
        <v>0</v>
      </c>
      <c r="E3950" s="6">
        <f t="shared" si="788"/>
        <v>0</v>
      </c>
      <c r="F3950" s="6">
        <f t="shared" si="789"/>
        <v>0</v>
      </c>
      <c r="G3950" s="6">
        <f t="shared" si="790"/>
        <v>0</v>
      </c>
      <c r="H3950" s="15">
        <f t="shared" si="791"/>
        <v>0</v>
      </c>
      <c r="I3950" s="10"/>
    </row>
    <row r="3951" spans="1:9">
      <c r="A3951" s="11" t="s">
        <v>102</v>
      </c>
      <c r="B3951" s="6">
        <f t="shared" si="785"/>
        <v>0</v>
      </c>
      <c r="C3951" s="6">
        <f t="shared" si="786"/>
        <v>0</v>
      </c>
      <c r="D3951" s="6">
        <f t="shared" si="787"/>
        <v>0</v>
      </c>
      <c r="E3951" s="6">
        <f t="shared" si="788"/>
        <v>0</v>
      </c>
      <c r="F3951" s="6">
        <f t="shared" si="789"/>
        <v>0</v>
      </c>
      <c r="G3951" s="6">
        <f t="shared" si="790"/>
        <v>0</v>
      </c>
      <c r="H3951" s="15">
        <f t="shared" si="791"/>
        <v>0</v>
      </c>
      <c r="I3951" s="10"/>
    </row>
    <row r="3952" spans="1:9">
      <c r="A3952" s="11" t="s">
        <v>103</v>
      </c>
      <c r="B3952" s="6">
        <f t="shared" si="785"/>
        <v>0</v>
      </c>
      <c r="C3952" s="6">
        <f t="shared" si="786"/>
        <v>0</v>
      </c>
      <c r="D3952" s="6">
        <f t="shared" si="787"/>
        <v>0</v>
      </c>
      <c r="E3952" s="6">
        <f t="shared" si="788"/>
        <v>0</v>
      </c>
      <c r="F3952" s="6">
        <f t="shared" si="789"/>
        <v>0</v>
      </c>
      <c r="G3952" s="6">
        <f t="shared" si="790"/>
        <v>0</v>
      </c>
      <c r="H3952" s="15">
        <f t="shared" si="791"/>
        <v>0</v>
      </c>
      <c r="I3952" s="10"/>
    </row>
    <row r="3953" spans="1:9">
      <c r="A3953" s="11" t="s">
        <v>104</v>
      </c>
      <c r="B3953" s="6">
        <f t="shared" si="785"/>
        <v>0</v>
      </c>
      <c r="C3953" s="6">
        <f t="shared" si="786"/>
        <v>0</v>
      </c>
      <c r="D3953" s="6">
        <f t="shared" si="787"/>
        <v>0</v>
      </c>
      <c r="E3953" s="6">
        <f t="shared" si="788"/>
        <v>0</v>
      </c>
      <c r="F3953" s="6">
        <f t="shared" si="789"/>
        <v>0</v>
      </c>
      <c r="G3953" s="6">
        <f t="shared" si="790"/>
        <v>0</v>
      </c>
      <c r="H3953" s="15">
        <f t="shared" si="791"/>
        <v>0</v>
      </c>
      <c r="I3953" s="10"/>
    </row>
    <row r="3954" spans="1:9">
      <c r="A3954" s="11" t="s">
        <v>112</v>
      </c>
      <c r="B3954" s="6">
        <f t="shared" si="785"/>
        <v>0</v>
      </c>
      <c r="C3954" s="6">
        <f t="shared" si="786"/>
        <v>0</v>
      </c>
      <c r="D3954" s="6">
        <f t="shared" si="787"/>
        <v>0</v>
      </c>
      <c r="E3954" s="6">
        <f t="shared" si="788"/>
        <v>0</v>
      </c>
      <c r="F3954" s="6">
        <f t="shared" si="789"/>
        <v>0</v>
      </c>
      <c r="G3954" s="6">
        <f t="shared" si="790"/>
        <v>0</v>
      </c>
      <c r="H3954" s="15">
        <f t="shared" si="791"/>
        <v>0</v>
      </c>
      <c r="I3954" s="10"/>
    </row>
    <row r="3955" spans="1:9">
      <c r="A3955" s="11" t="s">
        <v>113</v>
      </c>
      <c r="B3955" s="6">
        <f t="shared" si="785"/>
        <v>0</v>
      </c>
      <c r="C3955" s="6">
        <f t="shared" si="786"/>
        <v>0</v>
      </c>
      <c r="D3955" s="6">
        <f t="shared" si="787"/>
        <v>0</v>
      </c>
      <c r="E3955" s="6">
        <f t="shared" si="788"/>
        <v>0</v>
      </c>
      <c r="F3955" s="6">
        <f t="shared" si="789"/>
        <v>0</v>
      </c>
      <c r="G3955" s="6">
        <f t="shared" si="790"/>
        <v>0</v>
      </c>
      <c r="H3955" s="15">
        <f t="shared" si="791"/>
        <v>0</v>
      </c>
      <c r="I3955" s="10"/>
    </row>
    <row r="3957" spans="1:9" ht="21" customHeight="1">
      <c r="A3957" s="1" t="str">
        <f>"Tariff component adjustment and rounding"&amp;" for "&amp;CDCM!B7&amp;" in "&amp;CDCM!C7&amp;" ("&amp;CDCM!D7&amp;")"</f>
        <v>Tariff component adjustment and rounding for 0 in 0 (0)</v>
      </c>
    </row>
    <row r="3959" spans="1:9" ht="21" customHeight="1">
      <c r="A3959" s="1" t="s">
        <v>1145</v>
      </c>
    </row>
    <row r="3960" spans="1:9">
      <c r="A3960" s="2" t="s">
        <v>255</v>
      </c>
    </row>
    <row r="3961" spans="1:9">
      <c r="A3961" s="12" t="s">
        <v>1146</v>
      </c>
    </row>
    <row r="3962" spans="1:9">
      <c r="A3962" s="12" t="s">
        <v>1147</v>
      </c>
    </row>
    <row r="3963" spans="1:9">
      <c r="A3963" s="12" t="s">
        <v>1148</v>
      </c>
    </row>
    <row r="3964" spans="1:9">
      <c r="A3964" s="12" t="s">
        <v>1149</v>
      </c>
    </row>
    <row r="3965" spans="1:9">
      <c r="A3965" s="12" t="s">
        <v>1150</v>
      </c>
    </row>
    <row r="3966" spans="1:9">
      <c r="A3966" s="12" t="s">
        <v>1151</v>
      </c>
    </row>
    <row r="3967" spans="1:9">
      <c r="A3967" s="12" t="s">
        <v>1152</v>
      </c>
    </row>
    <row r="3968" spans="1:9">
      <c r="A3968" s="12" t="s">
        <v>1153</v>
      </c>
    </row>
    <row r="3969" spans="1:8">
      <c r="A3969" s="12" t="s">
        <v>1154</v>
      </c>
    </row>
    <row r="3970" spans="1:8">
      <c r="A3970" s="12" t="s">
        <v>1155</v>
      </c>
    </row>
    <row r="3971" spans="1:8">
      <c r="A3971" s="12" t="s">
        <v>1156</v>
      </c>
    </row>
    <row r="3972" spans="1:8">
      <c r="A3972" s="12" t="s">
        <v>1157</v>
      </c>
    </row>
    <row r="3973" spans="1:8">
      <c r="A3973" s="21" t="s">
        <v>258</v>
      </c>
      <c r="B3973" s="21" t="s">
        <v>385</v>
      </c>
      <c r="C3973" s="21" t="s">
        <v>385</v>
      </c>
      <c r="D3973" s="21" t="s">
        <v>385</v>
      </c>
      <c r="E3973" s="21" t="s">
        <v>385</v>
      </c>
      <c r="F3973" s="21" t="s">
        <v>385</v>
      </c>
      <c r="G3973" s="21" t="s">
        <v>385</v>
      </c>
    </row>
    <row r="3974" spans="1:8">
      <c r="A3974" s="21" t="s">
        <v>261</v>
      </c>
      <c r="B3974" s="21" t="s">
        <v>1158</v>
      </c>
      <c r="C3974" s="21" t="s">
        <v>1159</v>
      </c>
      <c r="D3974" s="21" t="s">
        <v>1160</v>
      </c>
      <c r="E3974" s="21" t="s">
        <v>1161</v>
      </c>
      <c r="F3974" s="21" t="s">
        <v>1162</v>
      </c>
      <c r="G3974" s="21" t="s">
        <v>1163</v>
      </c>
    </row>
    <row r="3976" spans="1:8" ht="30">
      <c r="B3976" s="3" t="s">
        <v>1164</v>
      </c>
      <c r="C3976" s="3" t="s">
        <v>1165</v>
      </c>
      <c r="D3976" s="3" t="s">
        <v>1166</v>
      </c>
      <c r="E3976" s="3" t="s">
        <v>1167</v>
      </c>
      <c r="F3976" s="3" t="s">
        <v>1168</v>
      </c>
      <c r="G3976" s="3" t="s">
        <v>791</v>
      </c>
    </row>
    <row r="3977" spans="1:8">
      <c r="A3977" s="11" t="s">
        <v>92</v>
      </c>
      <c r="B3977" s="29">
        <f t="shared" ref="B3977:B4003" si="792">$B3421+$B3929</f>
        <v>3.0842203240129109</v>
      </c>
      <c r="C3977" s="9"/>
      <c r="D3977" s="9"/>
      <c r="E3977" s="29">
        <f>$E3421+$E3929</f>
        <v>4.6505255330235507</v>
      </c>
      <c r="F3977" s="9"/>
      <c r="G3977" s="9"/>
      <c r="H3977" s="10"/>
    </row>
    <row r="3978" spans="1:8">
      <c r="A3978" s="11" t="s">
        <v>93</v>
      </c>
      <c r="B3978" s="29">
        <f t="shared" si="792"/>
        <v>3.3432964632926101</v>
      </c>
      <c r="C3978" s="29">
        <f>$C3422+$C3930</f>
        <v>0.2086354748934304</v>
      </c>
      <c r="D3978" s="9"/>
      <c r="E3978" s="29">
        <f>$E3422+$E3930</f>
        <v>4.6505255330235507</v>
      </c>
      <c r="F3978" s="9"/>
      <c r="G3978" s="9"/>
      <c r="H3978" s="10"/>
    </row>
    <row r="3979" spans="1:8">
      <c r="A3979" s="11" t="s">
        <v>129</v>
      </c>
      <c r="B3979" s="29">
        <f t="shared" si="792"/>
        <v>0.31528646267235722</v>
      </c>
      <c r="C3979" s="9"/>
      <c r="D3979" s="9"/>
      <c r="E3979" s="9"/>
      <c r="F3979" s="9"/>
      <c r="G3979" s="9"/>
      <c r="H3979" s="10"/>
    </row>
    <row r="3980" spans="1:8">
      <c r="A3980" s="11" t="s">
        <v>94</v>
      </c>
      <c r="B3980" s="29">
        <f t="shared" si="792"/>
        <v>2.4257259728671086</v>
      </c>
      <c r="C3980" s="9"/>
      <c r="D3980" s="9"/>
      <c r="E3980" s="29">
        <f>$E3424+$E3932</f>
        <v>7.8169321719763465</v>
      </c>
      <c r="F3980" s="9"/>
      <c r="G3980" s="9"/>
      <c r="H3980" s="10"/>
    </row>
    <row r="3981" spans="1:8">
      <c r="A3981" s="11" t="s">
        <v>95</v>
      </c>
      <c r="B3981" s="29">
        <f t="shared" si="792"/>
        <v>3.1253759474626746</v>
      </c>
      <c r="C3981" s="29">
        <f>$C3425+$C3933</f>
        <v>0.26908224153097843</v>
      </c>
      <c r="D3981" s="9"/>
      <c r="E3981" s="29">
        <f>$E3425+$E3933</f>
        <v>7.8169321719763465</v>
      </c>
      <c r="F3981" s="9"/>
      <c r="G3981" s="9"/>
      <c r="H3981" s="10"/>
    </row>
    <row r="3982" spans="1:8">
      <c r="A3982" s="11" t="s">
        <v>130</v>
      </c>
      <c r="B3982" s="29">
        <f t="shared" si="792"/>
        <v>0.3263933069304219</v>
      </c>
      <c r="C3982" s="9"/>
      <c r="D3982" s="9"/>
      <c r="E3982" s="9"/>
      <c r="F3982" s="9"/>
      <c r="G3982" s="9"/>
      <c r="H3982" s="10"/>
    </row>
    <row r="3983" spans="1:8">
      <c r="A3983" s="11" t="s">
        <v>96</v>
      </c>
      <c r="B3983" s="29">
        <f t="shared" si="792"/>
        <v>2.9144915211748401</v>
      </c>
      <c r="C3983" s="29">
        <f t="shared" ref="C3983:C3990" si="793">$C3427+$C3935</f>
        <v>0.16160070508397475</v>
      </c>
      <c r="D3983" s="9"/>
      <c r="E3983" s="29">
        <f t="shared" ref="E3983:E3990" si="794">$E3427+$E3935</f>
        <v>45.356105093595808</v>
      </c>
      <c r="F3983" s="9"/>
      <c r="G3983" s="9"/>
      <c r="H3983" s="10"/>
    </row>
    <row r="3984" spans="1:8">
      <c r="A3984" s="11" t="s">
        <v>97</v>
      </c>
      <c r="B3984" s="29">
        <f t="shared" si="792"/>
        <v>2.7901423078550995</v>
      </c>
      <c r="C3984" s="29">
        <f t="shared" si="793"/>
        <v>0.15015964123013659</v>
      </c>
      <c r="D3984" s="9"/>
      <c r="E3984" s="29">
        <f t="shared" si="794"/>
        <v>32.771588660233938</v>
      </c>
      <c r="F3984" s="9"/>
      <c r="G3984" s="9"/>
      <c r="H3984" s="10"/>
    </row>
    <row r="3985" spans="1:8">
      <c r="A3985" s="11" t="s">
        <v>110</v>
      </c>
      <c r="B3985" s="29">
        <f t="shared" si="792"/>
        <v>2.0479596711598558</v>
      </c>
      <c r="C3985" s="29">
        <f t="shared" si="793"/>
        <v>9.1604353125929378E-2</v>
      </c>
      <c r="D3985" s="9"/>
      <c r="E3985" s="29">
        <f t="shared" si="794"/>
        <v>169.77514390517439</v>
      </c>
      <c r="F3985" s="9"/>
      <c r="G3985" s="9"/>
      <c r="H3985" s="10"/>
    </row>
    <row r="3986" spans="1:8">
      <c r="A3986" s="11" t="s">
        <v>1647</v>
      </c>
      <c r="B3986" s="29">
        <f t="shared" si="792"/>
        <v>18.455283272395882</v>
      </c>
      <c r="C3986" s="29">
        <f t="shared" si="793"/>
        <v>1.8359365952025071</v>
      </c>
      <c r="D3986" s="29">
        <f>$D3430+$D3938</f>
        <v>0.16596160849476774</v>
      </c>
      <c r="E3986" s="29">
        <f t="shared" si="794"/>
        <v>4.6505255330235507</v>
      </c>
      <c r="F3986" s="9"/>
      <c r="G3986" s="9"/>
      <c r="H3986" s="10"/>
    </row>
    <row r="3987" spans="1:8">
      <c r="A3987" s="11" t="s">
        <v>1646</v>
      </c>
      <c r="B3987" s="29">
        <f t="shared" si="792"/>
        <v>18.466929843487989</v>
      </c>
      <c r="C3987" s="29">
        <f t="shared" si="793"/>
        <v>1.8352172893693899</v>
      </c>
      <c r="D3987" s="29">
        <f>$D3431+$D3939</f>
        <v>0.16603384663762905</v>
      </c>
      <c r="E3987" s="29">
        <f t="shared" si="794"/>
        <v>7.8169321719763465</v>
      </c>
      <c r="F3987" s="9"/>
      <c r="G3987" s="9"/>
      <c r="H3987" s="10"/>
    </row>
    <row r="3988" spans="1:8">
      <c r="A3988" s="11" t="s">
        <v>98</v>
      </c>
      <c r="B3988" s="29">
        <f t="shared" si="792"/>
        <v>14.288620987724858</v>
      </c>
      <c r="C3988" s="29">
        <f t="shared" si="793"/>
        <v>1.4095190459484923</v>
      </c>
      <c r="D3988" s="29">
        <f>$D3432+$D3940</f>
        <v>0.12229930445310498</v>
      </c>
      <c r="E3988" s="29">
        <f t="shared" si="794"/>
        <v>11.699299796364846</v>
      </c>
      <c r="F3988" s="29">
        <f>$F3432+$F3940</f>
        <v>3.0352493352519794</v>
      </c>
      <c r="G3988" s="29">
        <f>$G3432+$G3940</f>
        <v>0.50468532496845797</v>
      </c>
      <c r="H3988" s="10"/>
    </row>
    <row r="3989" spans="1:8">
      <c r="A3989" s="11" t="s">
        <v>99</v>
      </c>
      <c r="B3989" s="29">
        <f t="shared" si="792"/>
        <v>11.385695468391816</v>
      </c>
      <c r="C3989" s="29">
        <f t="shared" si="793"/>
        <v>1.1048765726544221</v>
      </c>
      <c r="D3989" s="29">
        <f>$D3433+$D3941</f>
        <v>8.9737047233630546E-2</v>
      </c>
      <c r="E3989" s="29">
        <f t="shared" si="794"/>
        <v>9.0109538407300178</v>
      </c>
      <c r="F3989" s="29">
        <f>$F3433+$F3941</f>
        <v>3.4303202887808428</v>
      </c>
      <c r="G3989" s="29">
        <f>$G3433+$G3941</f>
        <v>0.44128392449345821</v>
      </c>
      <c r="H3989" s="10"/>
    </row>
    <row r="3990" spans="1:8">
      <c r="A3990" s="11" t="s">
        <v>111</v>
      </c>
      <c r="B3990" s="29">
        <f t="shared" si="792"/>
        <v>10.57758581836004</v>
      </c>
      <c r="C3990" s="29">
        <f t="shared" si="793"/>
        <v>1.0210015340829421</v>
      </c>
      <c r="D3990" s="29">
        <f>$D3434+$D3942</f>
        <v>7.5262594251874787E-2</v>
      </c>
      <c r="E3990" s="29">
        <f t="shared" si="794"/>
        <v>89.399118103702705</v>
      </c>
      <c r="F3990" s="29">
        <f>$F3434+$F3942</f>
        <v>3.5534507248901726</v>
      </c>
      <c r="G3990" s="29">
        <f>$G3434+$G3942</f>
        <v>0.34868099824729171</v>
      </c>
      <c r="H3990" s="10"/>
    </row>
    <row r="3991" spans="1:8">
      <c r="A3991" s="11" t="s">
        <v>131</v>
      </c>
      <c r="B3991" s="29">
        <f t="shared" si="792"/>
        <v>2.6171482068524239</v>
      </c>
      <c r="C3991" s="9"/>
      <c r="D3991" s="9"/>
      <c r="E3991" s="9"/>
      <c r="F3991" s="9"/>
      <c r="G3991" s="9"/>
      <c r="H3991" s="10"/>
    </row>
    <row r="3992" spans="1:8">
      <c r="A3992" s="11" t="s">
        <v>132</v>
      </c>
      <c r="B3992" s="29">
        <f t="shared" si="792"/>
        <v>2.9641998899757014</v>
      </c>
      <c r="C3992" s="9"/>
      <c r="D3992" s="9"/>
      <c r="E3992" s="9"/>
      <c r="F3992" s="9"/>
      <c r="G3992" s="9"/>
      <c r="H3992" s="10"/>
    </row>
    <row r="3993" spans="1:8">
      <c r="A3993" s="11" t="s">
        <v>133</v>
      </c>
      <c r="B3993" s="29">
        <f t="shared" si="792"/>
        <v>4.4204893648206891</v>
      </c>
      <c r="C3993" s="9"/>
      <c r="D3993" s="9"/>
      <c r="E3993" s="9"/>
      <c r="F3993" s="9"/>
      <c r="G3993" s="9"/>
      <c r="H3993" s="10"/>
    </row>
    <row r="3994" spans="1:8">
      <c r="A3994" s="11" t="s">
        <v>134</v>
      </c>
      <c r="B3994" s="29">
        <f t="shared" si="792"/>
        <v>2.3183962402887381</v>
      </c>
      <c r="C3994" s="9"/>
      <c r="D3994" s="9"/>
      <c r="E3994" s="9"/>
      <c r="F3994" s="9"/>
      <c r="G3994" s="9"/>
      <c r="H3994" s="10"/>
    </row>
    <row r="3995" spans="1:8">
      <c r="A3995" s="11" t="s">
        <v>135</v>
      </c>
      <c r="B3995" s="29">
        <f t="shared" si="792"/>
        <v>39.576278232236156</v>
      </c>
      <c r="C3995" s="29">
        <f>$C3439+$C3947</f>
        <v>2.6185838304890741</v>
      </c>
      <c r="D3995" s="29">
        <f>$D3439+$D3947</f>
        <v>0.97476610545007314</v>
      </c>
      <c r="E3995" s="9"/>
      <c r="F3995" s="9"/>
      <c r="G3995" s="9"/>
      <c r="H3995" s="10"/>
    </row>
    <row r="3996" spans="1:8">
      <c r="A3996" s="11" t="s">
        <v>1645</v>
      </c>
      <c r="B3996" s="29">
        <f t="shared" si="792"/>
        <v>-0.88374617699213009</v>
      </c>
      <c r="C3996" s="9"/>
      <c r="D3996" s="9"/>
      <c r="E3996" s="29">
        <f t="shared" ref="E3996:E4003" si="795">$E3440+$E3948</f>
        <v>0</v>
      </c>
      <c r="F3996" s="9"/>
      <c r="G3996" s="9"/>
      <c r="H3996" s="10"/>
    </row>
    <row r="3997" spans="1:8">
      <c r="A3997" s="11" t="s">
        <v>100</v>
      </c>
      <c r="B3997" s="29">
        <f t="shared" si="792"/>
        <v>-0.81010267114273882</v>
      </c>
      <c r="C3997" s="9"/>
      <c r="D3997" s="9"/>
      <c r="E3997" s="29">
        <f t="shared" si="795"/>
        <v>0</v>
      </c>
      <c r="F3997" s="9"/>
      <c r="G3997" s="9"/>
      <c r="H3997" s="10"/>
    </row>
    <row r="3998" spans="1:8">
      <c r="A3998" s="11" t="s">
        <v>101</v>
      </c>
      <c r="B3998" s="29">
        <f t="shared" si="792"/>
        <v>-0.88374617699213009</v>
      </c>
      <c r="C3998" s="9"/>
      <c r="D3998" s="9"/>
      <c r="E3998" s="29">
        <f t="shared" si="795"/>
        <v>0</v>
      </c>
      <c r="F3998" s="9"/>
      <c r="G3998" s="29">
        <f t="shared" ref="G3998:G4003" si="796">$G3442+$G3950</f>
        <v>0.28875762249361692</v>
      </c>
      <c r="H3998" s="10"/>
    </row>
    <row r="3999" spans="1:8">
      <c r="A3999" s="11" t="s">
        <v>102</v>
      </c>
      <c r="B3999" s="29">
        <f t="shared" si="792"/>
        <v>-7.1152268532234642</v>
      </c>
      <c r="C3999" s="29">
        <f>$C3443+$C3951</f>
        <v>-0.69962600483282178</v>
      </c>
      <c r="D3999" s="29">
        <f>$D3443+$D3951</f>
        <v>-0.10689338308356565</v>
      </c>
      <c r="E3999" s="29">
        <f t="shared" si="795"/>
        <v>0</v>
      </c>
      <c r="F3999" s="9"/>
      <c r="G3999" s="29">
        <f t="shared" si="796"/>
        <v>0.28875762249361692</v>
      </c>
      <c r="H3999" s="10"/>
    </row>
    <row r="4000" spans="1:8">
      <c r="A4000" s="11" t="s">
        <v>103</v>
      </c>
      <c r="B4000" s="29">
        <f t="shared" si="792"/>
        <v>-0.81010267114273882</v>
      </c>
      <c r="C4000" s="9"/>
      <c r="D4000" s="9"/>
      <c r="E4000" s="29">
        <f t="shared" si="795"/>
        <v>0</v>
      </c>
      <c r="F4000" s="9"/>
      <c r="G4000" s="29">
        <f t="shared" si="796"/>
        <v>0.25275902296037006</v>
      </c>
      <c r="H4000" s="10"/>
    </row>
    <row r="4001" spans="1:8">
      <c r="A4001" s="11" t="s">
        <v>104</v>
      </c>
      <c r="B4001" s="29">
        <f t="shared" si="792"/>
        <v>-6.5435385163492308</v>
      </c>
      <c r="C4001" s="29">
        <f>$C3445+$C3953</f>
        <v>-0.63705662704462418</v>
      </c>
      <c r="D4001" s="29">
        <f>$D3445+$D3953</f>
        <v>-9.8485385096291983E-2</v>
      </c>
      <c r="E4001" s="29">
        <f t="shared" si="795"/>
        <v>0</v>
      </c>
      <c r="F4001" s="9"/>
      <c r="G4001" s="29">
        <f t="shared" si="796"/>
        <v>0.25275902296037006</v>
      </c>
      <c r="H4001" s="10"/>
    </row>
    <row r="4002" spans="1:8">
      <c r="A4002" s="11" t="s">
        <v>112</v>
      </c>
      <c r="B4002" s="29">
        <f t="shared" si="792"/>
        <v>-0.56174188836200312</v>
      </c>
      <c r="C4002" s="9"/>
      <c r="D4002" s="9"/>
      <c r="E4002" s="29">
        <f t="shared" si="795"/>
        <v>43.102334840579751</v>
      </c>
      <c r="F4002" s="9"/>
      <c r="G4002" s="29">
        <f t="shared" si="796"/>
        <v>0.20698421453834892</v>
      </c>
      <c r="H4002" s="10"/>
    </row>
    <row r="4003" spans="1:8">
      <c r="A4003" s="11" t="s">
        <v>113</v>
      </c>
      <c r="B4003" s="29">
        <f t="shared" si="792"/>
        <v>-4.6245043554348122</v>
      </c>
      <c r="C4003" s="29">
        <f>$C3447+$C3955</f>
        <v>-0.42451764239218559</v>
      </c>
      <c r="D4003" s="29">
        <f>$D3447+$D3955</f>
        <v>-7.010041688334763E-2</v>
      </c>
      <c r="E4003" s="29">
        <f t="shared" si="795"/>
        <v>43.102334840579751</v>
      </c>
      <c r="F4003" s="9"/>
      <c r="G4003" s="29">
        <f t="shared" si="796"/>
        <v>0.20698421453834892</v>
      </c>
      <c r="H4003" s="10"/>
    </row>
    <row r="4005" spans="1:8" ht="21" customHeight="1">
      <c r="A4005" s="1" t="s">
        <v>1169</v>
      </c>
    </row>
    <row r="4007" spans="1:8" ht="30">
      <c r="B4007" s="3" t="s">
        <v>1164</v>
      </c>
      <c r="C4007" s="3" t="s">
        <v>1165</v>
      </c>
      <c r="D4007" s="3" t="s">
        <v>1166</v>
      </c>
      <c r="E4007" s="3" t="s">
        <v>1167</v>
      </c>
      <c r="F4007" s="3" t="s">
        <v>1168</v>
      </c>
      <c r="G4007" s="3" t="s">
        <v>791</v>
      </c>
    </row>
    <row r="4008" spans="1:8">
      <c r="A4008" s="11" t="s">
        <v>1170</v>
      </c>
      <c r="B4008" s="23">
        <v>3</v>
      </c>
      <c r="C4008" s="23">
        <v>3</v>
      </c>
      <c r="D4008" s="23">
        <v>3</v>
      </c>
      <c r="E4008" s="23">
        <v>2</v>
      </c>
      <c r="F4008" s="23">
        <v>2</v>
      </c>
      <c r="G4008" s="23">
        <v>3</v>
      </c>
      <c r="H4008" s="10"/>
    </row>
    <row r="4010" spans="1:8" ht="21" customHeight="1">
      <c r="A4010" s="1" t="s">
        <v>1171</v>
      </c>
    </row>
    <row r="4011" spans="1:8">
      <c r="A4011" s="2" t="s">
        <v>255</v>
      </c>
    </row>
    <row r="4012" spans="1:8">
      <c r="A4012" s="12" t="s">
        <v>1172</v>
      </c>
    </row>
    <row r="4013" spans="1:8">
      <c r="A4013" s="12" t="s">
        <v>1173</v>
      </c>
    </row>
    <row r="4014" spans="1:8">
      <c r="A4014" s="12" t="s">
        <v>1174</v>
      </c>
    </row>
    <row r="4015" spans="1:8">
      <c r="A4015" s="12" t="s">
        <v>1175</v>
      </c>
    </row>
    <row r="4016" spans="1:8">
      <c r="A4016" s="12" t="s">
        <v>1176</v>
      </c>
    </row>
    <row r="4017" spans="1:8">
      <c r="A4017" s="12" t="s">
        <v>1177</v>
      </c>
    </row>
    <row r="4018" spans="1:8">
      <c r="A4018" s="12" t="s">
        <v>1178</v>
      </c>
    </row>
    <row r="4019" spans="1:8">
      <c r="A4019" s="12" t="s">
        <v>1179</v>
      </c>
    </row>
    <row r="4020" spans="1:8">
      <c r="A4020" s="12" t="s">
        <v>1180</v>
      </c>
    </row>
    <row r="4021" spans="1:8">
      <c r="A4021" s="12" t="s">
        <v>1181</v>
      </c>
    </row>
    <row r="4022" spans="1:8">
      <c r="A4022" s="12" t="s">
        <v>1182</v>
      </c>
    </row>
    <row r="4023" spans="1:8">
      <c r="A4023" s="12" t="s">
        <v>1183</v>
      </c>
    </row>
    <row r="4024" spans="1:8">
      <c r="A4024" s="21" t="s">
        <v>258</v>
      </c>
      <c r="B4024" s="21" t="s">
        <v>385</v>
      </c>
      <c r="C4024" s="21" t="s">
        <v>385</v>
      </c>
      <c r="D4024" s="21" t="s">
        <v>385</v>
      </c>
      <c r="E4024" s="21" t="s">
        <v>385</v>
      </c>
      <c r="F4024" s="21" t="s">
        <v>385</v>
      </c>
      <c r="G4024" s="21" t="s">
        <v>385</v>
      </c>
    </row>
    <row r="4025" spans="1:8">
      <c r="A4025" s="21" t="s">
        <v>261</v>
      </c>
      <c r="B4025" s="21" t="s">
        <v>1184</v>
      </c>
      <c r="C4025" s="21" t="s">
        <v>1185</v>
      </c>
      <c r="D4025" s="21" t="s">
        <v>1186</v>
      </c>
      <c r="E4025" s="21" t="s">
        <v>1187</v>
      </c>
      <c r="F4025" s="21" t="s">
        <v>1188</v>
      </c>
      <c r="G4025" s="21" t="s">
        <v>1189</v>
      </c>
    </row>
    <row r="4027" spans="1:8" ht="30">
      <c r="B4027" s="3" t="s">
        <v>1164</v>
      </c>
      <c r="C4027" s="3" t="s">
        <v>1165</v>
      </c>
      <c r="D4027" s="3" t="s">
        <v>1166</v>
      </c>
      <c r="E4027" s="3" t="s">
        <v>1167</v>
      </c>
      <c r="F4027" s="3" t="s">
        <v>1168</v>
      </c>
      <c r="G4027" s="3" t="s">
        <v>791</v>
      </c>
    </row>
    <row r="4028" spans="1:8">
      <c r="A4028" s="11" t="s">
        <v>92</v>
      </c>
      <c r="B4028" s="29">
        <f t="shared" ref="B4028:B4054" si="797">ROUND(B3977,B$4008)-B3977</f>
        <v>-2.2032401291083303E-4</v>
      </c>
      <c r="C4028" s="9"/>
      <c r="D4028" s="9"/>
      <c r="E4028" s="29">
        <f>ROUND(E3977,E$4008)-E3977</f>
        <v>-5.255330235502953E-4</v>
      </c>
      <c r="F4028" s="9"/>
      <c r="G4028" s="9"/>
      <c r="H4028" s="10"/>
    </row>
    <row r="4029" spans="1:8">
      <c r="A4029" s="11" t="s">
        <v>93</v>
      </c>
      <c r="B4029" s="29">
        <f t="shared" si="797"/>
        <v>-2.9646329261012738E-4</v>
      </c>
      <c r="C4029" s="29">
        <f>ROUND(C3978,C$4008)-C3978</f>
        <v>3.6452510656959092E-4</v>
      </c>
      <c r="D4029" s="9"/>
      <c r="E4029" s="29">
        <f>ROUND(E3978,E$4008)-E3978</f>
        <v>-5.255330235502953E-4</v>
      </c>
      <c r="F4029" s="9"/>
      <c r="G4029" s="9"/>
      <c r="H4029" s="10"/>
    </row>
    <row r="4030" spans="1:8">
      <c r="A4030" s="11" t="s">
        <v>129</v>
      </c>
      <c r="B4030" s="29">
        <f t="shared" si="797"/>
        <v>-2.8646267235721279E-4</v>
      </c>
      <c r="C4030" s="9"/>
      <c r="D4030" s="9"/>
      <c r="E4030" s="9"/>
      <c r="F4030" s="9"/>
      <c r="G4030" s="9"/>
      <c r="H4030" s="10"/>
    </row>
    <row r="4031" spans="1:8">
      <c r="A4031" s="11" t="s">
        <v>94</v>
      </c>
      <c r="B4031" s="29">
        <f t="shared" si="797"/>
        <v>2.7402713289159664E-4</v>
      </c>
      <c r="C4031" s="9"/>
      <c r="D4031" s="9"/>
      <c r="E4031" s="29">
        <f>ROUND(E3980,E$4008)-E3980</f>
        <v>3.0678280236537958E-3</v>
      </c>
      <c r="F4031" s="9"/>
      <c r="G4031" s="9"/>
      <c r="H4031" s="10"/>
    </row>
    <row r="4032" spans="1:8">
      <c r="A4032" s="11" t="s">
        <v>95</v>
      </c>
      <c r="B4032" s="29">
        <f t="shared" si="797"/>
        <v>-3.7594746267455292E-4</v>
      </c>
      <c r="C4032" s="29">
        <f>ROUND(C3981,C$4008)-C3981</f>
        <v>-8.2241530978410804E-5</v>
      </c>
      <c r="D4032" s="9"/>
      <c r="E4032" s="29">
        <f>ROUND(E3981,E$4008)-E3981</f>
        <v>3.0678280236537958E-3</v>
      </c>
      <c r="F4032" s="9"/>
      <c r="G4032" s="9"/>
      <c r="H4032" s="10"/>
    </row>
    <row r="4033" spans="1:8">
      <c r="A4033" s="11" t="s">
        <v>130</v>
      </c>
      <c r="B4033" s="29">
        <f t="shared" si="797"/>
        <v>-3.9330693042188836E-4</v>
      </c>
      <c r="C4033" s="9"/>
      <c r="D4033" s="9"/>
      <c r="E4033" s="9"/>
      <c r="F4033" s="9"/>
      <c r="G4033" s="9"/>
      <c r="H4033" s="10"/>
    </row>
    <row r="4034" spans="1:8">
      <c r="A4034" s="11" t="s">
        <v>96</v>
      </c>
      <c r="B4034" s="29">
        <f t="shared" si="797"/>
        <v>-4.915211748399706E-4</v>
      </c>
      <c r="C4034" s="29">
        <f t="shared" ref="C4034:C4041" si="798">ROUND(C3983,C$4008)-C3983</f>
        <v>3.9929491602525014E-4</v>
      </c>
      <c r="D4034" s="9"/>
      <c r="E4034" s="29">
        <f t="shared" ref="E4034:E4041" si="799">ROUND(E3983,E$4008)-E3983</f>
        <v>3.8949064041915449E-3</v>
      </c>
      <c r="F4034" s="9"/>
      <c r="G4034" s="9"/>
      <c r="H4034" s="10"/>
    </row>
    <row r="4035" spans="1:8">
      <c r="A4035" s="11" t="s">
        <v>97</v>
      </c>
      <c r="B4035" s="29">
        <f t="shared" si="797"/>
        <v>-1.4230785509949939E-4</v>
      </c>
      <c r="C4035" s="29">
        <f t="shared" si="798"/>
        <v>-1.5964123013659237E-4</v>
      </c>
      <c r="D4035" s="9"/>
      <c r="E4035" s="29">
        <f t="shared" si="799"/>
        <v>-1.588660233935002E-3</v>
      </c>
      <c r="F4035" s="9"/>
      <c r="G4035" s="9"/>
      <c r="H4035" s="10"/>
    </row>
    <row r="4036" spans="1:8">
      <c r="A4036" s="11" t="s">
        <v>110</v>
      </c>
      <c r="B4036" s="29">
        <f t="shared" si="797"/>
        <v>4.0328840144265854E-5</v>
      </c>
      <c r="C4036" s="29">
        <f t="shared" si="798"/>
        <v>3.9564687407062094E-4</v>
      </c>
      <c r="D4036" s="9"/>
      <c r="E4036" s="29">
        <f t="shared" si="799"/>
        <v>4.8560948256124448E-3</v>
      </c>
      <c r="F4036" s="9"/>
      <c r="G4036" s="9"/>
      <c r="H4036" s="10"/>
    </row>
    <row r="4037" spans="1:8">
      <c r="A4037" s="11" t="s">
        <v>1647</v>
      </c>
      <c r="B4037" s="29">
        <f t="shared" si="797"/>
        <v>-2.8327239588321618E-4</v>
      </c>
      <c r="C4037" s="29">
        <f t="shared" si="798"/>
        <v>6.3404797493005205E-5</v>
      </c>
      <c r="D4037" s="29">
        <f>ROUND(D3986,D$4008)-D3986</f>
        <v>3.8391505232271417E-5</v>
      </c>
      <c r="E4037" s="29">
        <f t="shared" si="799"/>
        <v>-5.255330235502953E-4</v>
      </c>
      <c r="F4037" s="9"/>
      <c r="G4037" s="9"/>
      <c r="H4037" s="10"/>
    </row>
    <row r="4038" spans="1:8">
      <c r="A4038" s="11" t="s">
        <v>1646</v>
      </c>
      <c r="B4038" s="29">
        <f t="shared" si="797"/>
        <v>7.0156512009589278E-5</v>
      </c>
      <c r="C4038" s="29">
        <f t="shared" si="798"/>
        <v>-2.1728936938991694E-4</v>
      </c>
      <c r="D4038" s="29">
        <f>ROUND(D3987,D$4008)-D3987</f>
        <v>-3.3846637629036946E-5</v>
      </c>
      <c r="E4038" s="29">
        <f t="shared" si="799"/>
        <v>3.0678280236537958E-3</v>
      </c>
      <c r="F4038" s="9"/>
      <c r="G4038" s="9"/>
      <c r="H4038" s="10"/>
    </row>
    <row r="4039" spans="1:8">
      <c r="A4039" s="11" t="s">
        <v>98</v>
      </c>
      <c r="B4039" s="29">
        <f t="shared" si="797"/>
        <v>3.7901227514147706E-4</v>
      </c>
      <c r="C4039" s="29">
        <f t="shared" si="798"/>
        <v>4.8095405150760939E-4</v>
      </c>
      <c r="D4039" s="29">
        <f>ROUND(D3988,D$4008)-D3988</f>
        <v>-2.9930445310498432E-4</v>
      </c>
      <c r="E4039" s="29">
        <f t="shared" si="799"/>
        <v>7.0020363515332917E-4</v>
      </c>
      <c r="F4039" s="29">
        <f t="shared" ref="F4039:G4041" si="800">ROUND(F3988,F$4008)-F3988</f>
        <v>4.750664748020661E-3</v>
      </c>
      <c r="G4039" s="29">
        <f t="shared" si="800"/>
        <v>3.1467503154203325E-4</v>
      </c>
      <c r="H4039" s="10"/>
    </row>
    <row r="4040" spans="1:8">
      <c r="A4040" s="11" t="s">
        <v>99</v>
      </c>
      <c r="B4040" s="29">
        <f t="shared" si="797"/>
        <v>3.0453160818311176E-4</v>
      </c>
      <c r="C4040" s="29">
        <f t="shared" si="798"/>
        <v>1.2342734557790891E-4</v>
      </c>
      <c r="D4040" s="29">
        <f>ROUND(D3989,D$4008)-D3989</f>
        <v>2.6295276636945086E-4</v>
      </c>
      <c r="E4040" s="29">
        <f t="shared" si="799"/>
        <v>-9.538407300180296E-4</v>
      </c>
      <c r="F4040" s="29">
        <f t="shared" si="800"/>
        <v>-3.2028878084267021E-4</v>
      </c>
      <c r="G4040" s="29">
        <f t="shared" si="800"/>
        <v>-2.8392449345820969E-4</v>
      </c>
      <c r="H4040" s="10"/>
    </row>
    <row r="4041" spans="1:8">
      <c r="A4041" s="11" t="s">
        <v>111</v>
      </c>
      <c r="B4041" s="29">
        <f t="shared" si="797"/>
        <v>4.141816399592102E-4</v>
      </c>
      <c r="C4041" s="29">
        <f t="shared" si="798"/>
        <v>-1.5340829422338942E-6</v>
      </c>
      <c r="D4041" s="29">
        <f>ROUND(D3990,D$4008)-D3990</f>
        <v>-2.625942518747898E-4</v>
      </c>
      <c r="E4041" s="29">
        <f t="shared" si="799"/>
        <v>8.8189629730095476E-4</v>
      </c>
      <c r="F4041" s="29">
        <f t="shared" si="800"/>
        <v>-3.4507248901727294E-3</v>
      </c>
      <c r="G4041" s="29">
        <f t="shared" si="800"/>
        <v>3.1900175270827003E-4</v>
      </c>
      <c r="H4041" s="10"/>
    </row>
    <row r="4042" spans="1:8">
      <c r="A4042" s="11" t="s">
        <v>131</v>
      </c>
      <c r="B4042" s="29">
        <f t="shared" si="797"/>
        <v>-1.4820685242389331E-4</v>
      </c>
      <c r="C4042" s="9"/>
      <c r="D4042" s="9"/>
      <c r="E4042" s="9"/>
      <c r="F4042" s="9"/>
      <c r="G4042" s="9"/>
      <c r="H4042" s="10"/>
    </row>
    <row r="4043" spans="1:8">
      <c r="A4043" s="11" t="s">
        <v>132</v>
      </c>
      <c r="B4043" s="29">
        <f t="shared" si="797"/>
        <v>-1.998899757014172E-4</v>
      </c>
      <c r="C4043" s="9"/>
      <c r="D4043" s="9"/>
      <c r="E4043" s="9"/>
      <c r="F4043" s="9"/>
      <c r="G4043" s="9"/>
      <c r="H4043" s="10"/>
    </row>
    <row r="4044" spans="1:8">
      <c r="A4044" s="11" t="s">
        <v>133</v>
      </c>
      <c r="B4044" s="29">
        <f t="shared" si="797"/>
        <v>-4.8936482068917542E-4</v>
      </c>
      <c r="C4044" s="9"/>
      <c r="D4044" s="9"/>
      <c r="E4044" s="9"/>
      <c r="F4044" s="9"/>
      <c r="G4044" s="9"/>
      <c r="H4044" s="10"/>
    </row>
    <row r="4045" spans="1:8">
      <c r="A4045" s="11" t="s">
        <v>134</v>
      </c>
      <c r="B4045" s="29">
        <f t="shared" si="797"/>
        <v>-3.9624028873808115E-4</v>
      </c>
      <c r="C4045" s="9"/>
      <c r="D4045" s="9"/>
      <c r="E4045" s="9"/>
      <c r="F4045" s="9"/>
      <c r="G4045" s="9"/>
      <c r="H4045" s="10"/>
    </row>
    <row r="4046" spans="1:8">
      <c r="A4046" s="11" t="s">
        <v>135</v>
      </c>
      <c r="B4046" s="29">
        <f t="shared" si="797"/>
        <v>-2.7823223615541792E-4</v>
      </c>
      <c r="C4046" s="29">
        <f>ROUND(C3995,C$4008)-C3995</f>
        <v>4.1616951092615651E-4</v>
      </c>
      <c r="D4046" s="29">
        <f>ROUND(D3995,D$4008)-D3995</f>
        <v>2.3389454992683856E-4</v>
      </c>
      <c r="E4046" s="9"/>
      <c r="F4046" s="9"/>
      <c r="G4046" s="9"/>
      <c r="H4046" s="10"/>
    </row>
    <row r="4047" spans="1:8">
      <c r="A4047" s="11" t="s">
        <v>1645</v>
      </c>
      <c r="B4047" s="29">
        <f t="shared" si="797"/>
        <v>-2.538230078699133E-4</v>
      </c>
      <c r="C4047" s="9"/>
      <c r="D4047" s="9"/>
      <c r="E4047" s="29">
        <f t="shared" ref="E4047:E4054" si="801">ROUND(E3996,E$4008)-E3996</f>
        <v>0</v>
      </c>
      <c r="F4047" s="9"/>
      <c r="G4047" s="9"/>
      <c r="H4047" s="10"/>
    </row>
    <row r="4048" spans="1:8">
      <c r="A4048" s="11" t="s">
        <v>100</v>
      </c>
      <c r="B4048" s="29">
        <f t="shared" si="797"/>
        <v>1.0267114273876388E-4</v>
      </c>
      <c r="C4048" s="9"/>
      <c r="D4048" s="9"/>
      <c r="E4048" s="29">
        <f t="shared" si="801"/>
        <v>0</v>
      </c>
      <c r="F4048" s="9"/>
      <c r="G4048" s="9"/>
      <c r="H4048" s="10"/>
    </row>
    <row r="4049" spans="1:8">
      <c r="A4049" s="11" t="s">
        <v>101</v>
      </c>
      <c r="B4049" s="29">
        <f t="shared" si="797"/>
        <v>-2.538230078699133E-4</v>
      </c>
      <c r="C4049" s="9"/>
      <c r="D4049" s="9"/>
      <c r="E4049" s="29">
        <f t="shared" si="801"/>
        <v>0</v>
      </c>
      <c r="F4049" s="9"/>
      <c r="G4049" s="29">
        <f t="shared" ref="G4049:G4054" si="802">ROUND(G3998,G$4008)-G3998</f>
        <v>2.4237750638306244E-4</v>
      </c>
      <c r="H4049" s="10"/>
    </row>
    <row r="4050" spans="1:8">
      <c r="A4050" s="11" t="s">
        <v>102</v>
      </c>
      <c r="B4050" s="29">
        <f t="shared" si="797"/>
        <v>2.2685322346394088E-4</v>
      </c>
      <c r="C4050" s="29">
        <f>ROUND(C3999,C$4008)-C3999</f>
        <v>-3.7399516717817605E-4</v>
      </c>
      <c r="D4050" s="29">
        <f>ROUND(D3999,D$4008)-D3999</f>
        <v>-1.066169164343489E-4</v>
      </c>
      <c r="E4050" s="29">
        <f t="shared" si="801"/>
        <v>0</v>
      </c>
      <c r="F4050" s="9"/>
      <c r="G4050" s="29">
        <f t="shared" si="802"/>
        <v>2.4237750638306244E-4</v>
      </c>
      <c r="H4050" s="10"/>
    </row>
    <row r="4051" spans="1:8">
      <c r="A4051" s="11" t="s">
        <v>103</v>
      </c>
      <c r="B4051" s="29">
        <f t="shared" si="797"/>
        <v>1.0267114273876388E-4</v>
      </c>
      <c r="C4051" s="9"/>
      <c r="D4051" s="9"/>
      <c r="E4051" s="29">
        <f t="shared" si="801"/>
        <v>0</v>
      </c>
      <c r="F4051" s="9"/>
      <c r="G4051" s="29">
        <f t="shared" si="802"/>
        <v>2.4097703962994155E-4</v>
      </c>
      <c r="H4051" s="10"/>
    </row>
    <row r="4052" spans="1:8">
      <c r="A4052" s="11" t="s">
        <v>104</v>
      </c>
      <c r="B4052" s="29">
        <f t="shared" si="797"/>
        <v>-4.6148365076881248E-4</v>
      </c>
      <c r="C4052" s="29">
        <f>ROUND(C4001,C$4008)-C4001</f>
        <v>5.662704462416901E-5</v>
      </c>
      <c r="D4052" s="29">
        <f>ROUND(D4001,D$4008)-D4001</f>
        <v>4.8538509629197923E-4</v>
      </c>
      <c r="E4052" s="29">
        <f t="shared" si="801"/>
        <v>0</v>
      </c>
      <c r="F4052" s="9"/>
      <c r="G4052" s="29">
        <f t="shared" si="802"/>
        <v>2.4097703962994155E-4</v>
      </c>
      <c r="H4052" s="10"/>
    </row>
    <row r="4053" spans="1:8">
      <c r="A4053" s="11" t="s">
        <v>112</v>
      </c>
      <c r="B4053" s="29">
        <f t="shared" si="797"/>
        <v>-2.5811163799693837E-4</v>
      </c>
      <c r="C4053" s="9"/>
      <c r="D4053" s="9"/>
      <c r="E4053" s="29">
        <f t="shared" si="801"/>
        <v>-2.3348405797491978E-3</v>
      </c>
      <c r="F4053" s="9"/>
      <c r="G4053" s="29">
        <f t="shared" si="802"/>
        <v>1.5785461651068866E-5</v>
      </c>
      <c r="H4053" s="10"/>
    </row>
    <row r="4054" spans="1:8">
      <c r="A4054" s="11" t="s">
        <v>113</v>
      </c>
      <c r="B4054" s="29">
        <f t="shared" si="797"/>
        <v>-4.9564456518780275E-4</v>
      </c>
      <c r="C4054" s="29">
        <f>ROUND(C4003,C$4008)-C4003</f>
        <v>-4.8235760781439874E-4</v>
      </c>
      <c r="D4054" s="29">
        <f>ROUND(D4003,D$4008)-D4003</f>
        <v>1.0041688334762322E-4</v>
      </c>
      <c r="E4054" s="29">
        <f t="shared" si="801"/>
        <v>-2.3348405797491978E-3</v>
      </c>
      <c r="F4054" s="9"/>
      <c r="G4054" s="29">
        <f t="shared" si="802"/>
        <v>1.5785461651068866E-5</v>
      </c>
      <c r="H4054" s="10"/>
    </row>
    <row r="4056" spans="1:8" ht="21" customHeight="1">
      <c r="A4056" s="1" t="s">
        <v>1190</v>
      </c>
    </row>
    <row r="4057" spans="1:8">
      <c r="A4057" s="2" t="s">
        <v>255</v>
      </c>
    </row>
    <row r="4058" spans="1:8">
      <c r="A4058" s="12" t="s">
        <v>1172</v>
      </c>
    </row>
    <row r="4059" spans="1:8">
      <c r="A4059" s="12" t="s">
        <v>1191</v>
      </c>
    </row>
    <row r="4060" spans="1:8">
      <c r="A4060" s="12" t="s">
        <v>1174</v>
      </c>
    </row>
    <row r="4061" spans="1:8">
      <c r="A4061" s="12" t="s">
        <v>1192</v>
      </c>
    </row>
    <row r="4062" spans="1:8">
      <c r="A4062" s="12" t="s">
        <v>1176</v>
      </c>
    </row>
    <row r="4063" spans="1:8">
      <c r="A4063" s="12" t="s">
        <v>1193</v>
      </c>
    </row>
    <row r="4064" spans="1:8">
      <c r="A4064" s="12" t="s">
        <v>1178</v>
      </c>
    </row>
    <row r="4065" spans="1:8">
      <c r="A4065" s="12" t="s">
        <v>1194</v>
      </c>
    </row>
    <row r="4066" spans="1:8">
      <c r="A4066" s="12" t="s">
        <v>1180</v>
      </c>
    </row>
    <row r="4067" spans="1:8">
      <c r="A4067" s="12" t="s">
        <v>1195</v>
      </c>
    </row>
    <row r="4068" spans="1:8">
      <c r="A4068" s="12" t="s">
        <v>1182</v>
      </c>
    </row>
    <row r="4069" spans="1:8">
      <c r="A4069" s="12" t="s">
        <v>1196</v>
      </c>
    </row>
    <row r="4070" spans="1:8">
      <c r="A4070" s="21" t="s">
        <v>258</v>
      </c>
      <c r="B4070" s="21" t="s">
        <v>385</v>
      </c>
      <c r="C4070" s="21" t="s">
        <v>385</v>
      </c>
      <c r="D4070" s="21" t="s">
        <v>385</v>
      </c>
      <c r="E4070" s="21" t="s">
        <v>385</v>
      </c>
      <c r="F4070" s="21" t="s">
        <v>385</v>
      </c>
      <c r="G4070" s="21" t="s">
        <v>385</v>
      </c>
    </row>
    <row r="4071" spans="1:8">
      <c r="A4071" s="21" t="s">
        <v>261</v>
      </c>
      <c r="B4071" s="21" t="s">
        <v>1158</v>
      </c>
      <c r="C4071" s="21" t="s">
        <v>1159</v>
      </c>
      <c r="D4071" s="21" t="s">
        <v>1160</v>
      </c>
      <c r="E4071" s="21" t="s">
        <v>1161</v>
      </c>
      <c r="F4071" s="21" t="s">
        <v>1162</v>
      </c>
      <c r="G4071" s="21" t="s">
        <v>1163</v>
      </c>
    </row>
    <row r="4073" spans="1:8" ht="30">
      <c r="B4073" s="3" t="s">
        <v>1164</v>
      </c>
      <c r="C4073" s="3" t="s">
        <v>1165</v>
      </c>
      <c r="D4073" s="3" t="s">
        <v>1166</v>
      </c>
      <c r="E4073" s="3" t="s">
        <v>1167</v>
      </c>
      <c r="F4073" s="3" t="s">
        <v>1168</v>
      </c>
      <c r="G4073" s="3" t="s">
        <v>791</v>
      </c>
    </row>
    <row r="4074" spans="1:8">
      <c r="A4074" s="11" t="s">
        <v>92</v>
      </c>
      <c r="B4074" s="6">
        <f t="shared" ref="B4074:B4100" si="803">B3977+B4028</f>
        <v>3.0840000000000001</v>
      </c>
      <c r="C4074" s="9"/>
      <c r="D4074" s="9"/>
      <c r="E4074" s="30">
        <f>E3977+E4028</f>
        <v>4.6500000000000004</v>
      </c>
      <c r="F4074" s="9"/>
      <c r="G4074" s="9"/>
      <c r="H4074" s="10"/>
    </row>
    <row r="4075" spans="1:8">
      <c r="A4075" s="11" t="s">
        <v>93</v>
      </c>
      <c r="B4075" s="6">
        <f t="shared" si="803"/>
        <v>3.343</v>
      </c>
      <c r="C4075" s="6">
        <f>C3978+C4029</f>
        <v>0.20899999999999999</v>
      </c>
      <c r="D4075" s="9"/>
      <c r="E4075" s="30">
        <f>E3978+E4029</f>
        <v>4.6500000000000004</v>
      </c>
      <c r="F4075" s="9"/>
      <c r="G4075" s="9"/>
      <c r="H4075" s="10"/>
    </row>
    <row r="4076" spans="1:8">
      <c r="A4076" s="11" t="s">
        <v>129</v>
      </c>
      <c r="B4076" s="6">
        <f t="shared" si="803"/>
        <v>0.315</v>
      </c>
      <c r="C4076" s="9"/>
      <c r="D4076" s="9"/>
      <c r="E4076" s="9"/>
      <c r="F4076" s="9"/>
      <c r="G4076" s="9"/>
      <c r="H4076" s="10"/>
    </row>
    <row r="4077" spans="1:8">
      <c r="A4077" s="11" t="s">
        <v>94</v>
      </c>
      <c r="B4077" s="6">
        <f t="shared" si="803"/>
        <v>2.4260000000000002</v>
      </c>
      <c r="C4077" s="9"/>
      <c r="D4077" s="9"/>
      <c r="E4077" s="30">
        <f>E3980+E4031</f>
        <v>7.82</v>
      </c>
      <c r="F4077" s="9"/>
      <c r="G4077" s="9"/>
      <c r="H4077" s="10"/>
    </row>
    <row r="4078" spans="1:8">
      <c r="A4078" s="11" t="s">
        <v>95</v>
      </c>
      <c r="B4078" s="6">
        <f t="shared" si="803"/>
        <v>3.125</v>
      </c>
      <c r="C4078" s="6">
        <f>C3981+C4032</f>
        <v>0.26900000000000002</v>
      </c>
      <c r="D4078" s="9"/>
      <c r="E4078" s="30">
        <f>E3981+E4032</f>
        <v>7.82</v>
      </c>
      <c r="F4078" s="9"/>
      <c r="G4078" s="9"/>
      <c r="H4078" s="10"/>
    </row>
    <row r="4079" spans="1:8">
      <c r="A4079" s="11" t="s">
        <v>130</v>
      </c>
      <c r="B4079" s="6">
        <f t="shared" si="803"/>
        <v>0.32600000000000001</v>
      </c>
      <c r="C4079" s="9"/>
      <c r="D4079" s="9"/>
      <c r="E4079" s="9"/>
      <c r="F4079" s="9"/>
      <c r="G4079" s="9"/>
      <c r="H4079" s="10"/>
    </row>
    <row r="4080" spans="1:8">
      <c r="A4080" s="11" t="s">
        <v>96</v>
      </c>
      <c r="B4080" s="6">
        <f t="shared" si="803"/>
        <v>2.9140000000000001</v>
      </c>
      <c r="C4080" s="6">
        <f t="shared" ref="C4080:C4087" si="804">C3983+C4034</f>
        <v>0.16200000000000001</v>
      </c>
      <c r="D4080" s="9"/>
      <c r="E4080" s="30">
        <f t="shared" ref="E4080:E4087" si="805">E3983+E4034</f>
        <v>45.36</v>
      </c>
      <c r="F4080" s="9"/>
      <c r="G4080" s="9"/>
      <c r="H4080" s="10"/>
    </row>
    <row r="4081" spans="1:8">
      <c r="A4081" s="11" t="s">
        <v>97</v>
      </c>
      <c r="B4081" s="6">
        <f t="shared" si="803"/>
        <v>2.79</v>
      </c>
      <c r="C4081" s="6">
        <f t="shared" si="804"/>
        <v>0.15</v>
      </c>
      <c r="D4081" s="9"/>
      <c r="E4081" s="30">
        <f t="shared" si="805"/>
        <v>32.770000000000003</v>
      </c>
      <c r="F4081" s="9"/>
      <c r="G4081" s="9"/>
      <c r="H4081" s="10"/>
    </row>
    <row r="4082" spans="1:8">
      <c r="A4082" s="11" t="s">
        <v>110</v>
      </c>
      <c r="B4082" s="6">
        <f t="shared" si="803"/>
        <v>2.048</v>
      </c>
      <c r="C4082" s="6">
        <f t="shared" si="804"/>
        <v>9.1999999999999998E-2</v>
      </c>
      <c r="D4082" s="9"/>
      <c r="E4082" s="30">
        <f t="shared" si="805"/>
        <v>169.78</v>
      </c>
      <c r="F4082" s="9"/>
      <c r="G4082" s="9"/>
      <c r="H4082" s="10"/>
    </row>
    <row r="4083" spans="1:8">
      <c r="A4083" s="11" t="s">
        <v>1647</v>
      </c>
      <c r="B4083" s="6">
        <f t="shared" si="803"/>
        <v>18.454999999999998</v>
      </c>
      <c r="C4083" s="6">
        <f t="shared" si="804"/>
        <v>1.8360000000000001</v>
      </c>
      <c r="D4083" s="6">
        <f>D3986+D4037</f>
        <v>0.16600000000000001</v>
      </c>
      <c r="E4083" s="30">
        <f t="shared" si="805"/>
        <v>4.6500000000000004</v>
      </c>
      <c r="F4083" s="9"/>
      <c r="G4083" s="9"/>
      <c r="H4083" s="10"/>
    </row>
    <row r="4084" spans="1:8">
      <c r="A4084" s="11" t="s">
        <v>1646</v>
      </c>
      <c r="B4084" s="6">
        <f t="shared" si="803"/>
        <v>18.466999999999999</v>
      </c>
      <c r="C4084" s="6">
        <f t="shared" si="804"/>
        <v>1.835</v>
      </c>
      <c r="D4084" s="6">
        <f>D3987+D4038</f>
        <v>0.16600000000000001</v>
      </c>
      <c r="E4084" s="30">
        <f t="shared" si="805"/>
        <v>7.82</v>
      </c>
      <c r="F4084" s="9"/>
      <c r="G4084" s="9"/>
      <c r="H4084" s="10"/>
    </row>
    <row r="4085" spans="1:8">
      <c r="A4085" s="11" t="s">
        <v>98</v>
      </c>
      <c r="B4085" s="6">
        <f t="shared" si="803"/>
        <v>14.289</v>
      </c>
      <c r="C4085" s="6">
        <f t="shared" si="804"/>
        <v>1.41</v>
      </c>
      <c r="D4085" s="6">
        <f>D3988+D4039</f>
        <v>0.122</v>
      </c>
      <c r="E4085" s="30">
        <f t="shared" si="805"/>
        <v>11.7</v>
      </c>
      <c r="F4085" s="30">
        <f t="shared" ref="F4085:G4087" si="806">F3988+F4039</f>
        <v>3.04</v>
      </c>
      <c r="G4085" s="6">
        <f t="shared" si="806"/>
        <v>0.505</v>
      </c>
      <c r="H4085" s="10"/>
    </row>
    <row r="4086" spans="1:8">
      <c r="A4086" s="11" t="s">
        <v>99</v>
      </c>
      <c r="B4086" s="6">
        <f t="shared" si="803"/>
        <v>11.385999999999999</v>
      </c>
      <c r="C4086" s="6">
        <f t="shared" si="804"/>
        <v>1.105</v>
      </c>
      <c r="D4086" s="6">
        <f>D3989+D4040</f>
        <v>0.09</v>
      </c>
      <c r="E4086" s="30">
        <f t="shared" si="805"/>
        <v>9.01</v>
      </c>
      <c r="F4086" s="30">
        <f t="shared" si="806"/>
        <v>3.43</v>
      </c>
      <c r="G4086" s="6">
        <f t="shared" si="806"/>
        <v>0.441</v>
      </c>
      <c r="H4086" s="10"/>
    </row>
    <row r="4087" spans="1:8">
      <c r="A4087" s="11" t="s">
        <v>111</v>
      </c>
      <c r="B4087" s="6">
        <f t="shared" si="803"/>
        <v>10.577999999999999</v>
      </c>
      <c r="C4087" s="6">
        <f t="shared" si="804"/>
        <v>1.0209999999999999</v>
      </c>
      <c r="D4087" s="6">
        <f>D3990+D4041</f>
        <v>7.4999999999999997E-2</v>
      </c>
      <c r="E4087" s="30">
        <f t="shared" si="805"/>
        <v>89.4</v>
      </c>
      <c r="F4087" s="30">
        <f t="shared" si="806"/>
        <v>3.55</v>
      </c>
      <c r="G4087" s="6">
        <f t="shared" si="806"/>
        <v>0.34899999999999998</v>
      </c>
      <c r="H4087" s="10"/>
    </row>
    <row r="4088" spans="1:8">
      <c r="A4088" s="11" t="s">
        <v>131</v>
      </c>
      <c r="B4088" s="6">
        <f t="shared" si="803"/>
        <v>2.617</v>
      </c>
      <c r="C4088" s="9"/>
      <c r="D4088" s="9"/>
      <c r="E4088" s="9"/>
      <c r="F4088" s="9"/>
      <c r="G4088" s="9"/>
      <c r="H4088" s="10"/>
    </row>
    <row r="4089" spans="1:8">
      <c r="A4089" s="11" t="s">
        <v>132</v>
      </c>
      <c r="B4089" s="6">
        <f t="shared" si="803"/>
        <v>2.964</v>
      </c>
      <c r="C4089" s="9"/>
      <c r="D4089" s="9"/>
      <c r="E4089" s="9"/>
      <c r="F4089" s="9"/>
      <c r="G4089" s="9"/>
      <c r="H4089" s="10"/>
    </row>
    <row r="4090" spans="1:8">
      <c r="A4090" s="11" t="s">
        <v>133</v>
      </c>
      <c r="B4090" s="6">
        <f t="shared" si="803"/>
        <v>4.42</v>
      </c>
      <c r="C4090" s="9"/>
      <c r="D4090" s="9"/>
      <c r="E4090" s="9"/>
      <c r="F4090" s="9"/>
      <c r="G4090" s="9"/>
      <c r="H4090" s="10"/>
    </row>
    <row r="4091" spans="1:8">
      <c r="A4091" s="11" t="s">
        <v>134</v>
      </c>
      <c r="B4091" s="6">
        <f t="shared" si="803"/>
        <v>2.3180000000000001</v>
      </c>
      <c r="C4091" s="9"/>
      <c r="D4091" s="9"/>
      <c r="E4091" s="9"/>
      <c r="F4091" s="9"/>
      <c r="G4091" s="9"/>
      <c r="H4091" s="10"/>
    </row>
    <row r="4092" spans="1:8">
      <c r="A4092" s="11" t="s">
        <v>135</v>
      </c>
      <c r="B4092" s="6">
        <f t="shared" si="803"/>
        <v>39.576000000000001</v>
      </c>
      <c r="C4092" s="6">
        <f>C3995+C4046</f>
        <v>2.6190000000000002</v>
      </c>
      <c r="D4092" s="6">
        <f>D3995+D4046</f>
        <v>0.97499999999999998</v>
      </c>
      <c r="E4092" s="9"/>
      <c r="F4092" s="9"/>
      <c r="G4092" s="9"/>
      <c r="H4092" s="10"/>
    </row>
    <row r="4093" spans="1:8">
      <c r="A4093" s="11" t="s">
        <v>1645</v>
      </c>
      <c r="B4093" s="6">
        <f t="shared" si="803"/>
        <v>-0.88400000000000001</v>
      </c>
      <c r="C4093" s="9"/>
      <c r="D4093" s="9"/>
      <c r="E4093" s="30">
        <f t="shared" ref="E4093:E4100" si="807">E3996+E4047</f>
        <v>0</v>
      </c>
      <c r="F4093" s="9"/>
      <c r="G4093" s="9"/>
      <c r="H4093" s="10"/>
    </row>
    <row r="4094" spans="1:8">
      <c r="A4094" s="11" t="s">
        <v>100</v>
      </c>
      <c r="B4094" s="6">
        <f t="shared" si="803"/>
        <v>-0.81</v>
      </c>
      <c r="C4094" s="9"/>
      <c r="D4094" s="9"/>
      <c r="E4094" s="30">
        <f t="shared" si="807"/>
        <v>0</v>
      </c>
      <c r="F4094" s="9"/>
      <c r="G4094" s="9"/>
      <c r="H4094" s="10"/>
    </row>
    <row r="4095" spans="1:8">
      <c r="A4095" s="11" t="s">
        <v>101</v>
      </c>
      <c r="B4095" s="6">
        <f t="shared" si="803"/>
        <v>-0.88400000000000001</v>
      </c>
      <c r="C4095" s="9"/>
      <c r="D4095" s="9"/>
      <c r="E4095" s="30">
        <f t="shared" si="807"/>
        <v>0</v>
      </c>
      <c r="F4095" s="9"/>
      <c r="G4095" s="6">
        <f t="shared" ref="G4095:G4100" si="808">G3998+G4049</f>
        <v>0.28899999999999998</v>
      </c>
      <c r="H4095" s="10"/>
    </row>
    <row r="4096" spans="1:8">
      <c r="A4096" s="11" t="s">
        <v>102</v>
      </c>
      <c r="B4096" s="6">
        <f t="shared" si="803"/>
        <v>-7.1150000000000002</v>
      </c>
      <c r="C4096" s="6">
        <f>C3999+C4050</f>
        <v>-0.7</v>
      </c>
      <c r="D4096" s="6">
        <f>D3999+D4050</f>
        <v>-0.107</v>
      </c>
      <c r="E4096" s="30">
        <f t="shared" si="807"/>
        <v>0</v>
      </c>
      <c r="F4096" s="9"/>
      <c r="G4096" s="6">
        <f t="shared" si="808"/>
        <v>0.28899999999999998</v>
      </c>
      <c r="H4096" s="10"/>
    </row>
    <row r="4097" spans="1:8">
      <c r="A4097" s="11" t="s">
        <v>103</v>
      </c>
      <c r="B4097" s="6">
        <f t="shared" si="803"/>
        <v>-0.81</v>
      </c>
      <c r="C4097" s="9"/>
      <c r="D4097" s="9"/>
      <c r="E4097" s="30">
        <f t="shared" si="807"/>
        <v>0</v>
      </c>
      <c r="F4097" s="9"/>
      <c r="G4097" s="6">
        <f t="shared" si="808"/>
        <v>0.253</v>
      </c>
      <c r="H4097" s="10"/>
    </row>
    <row r="4098" spans="1:8">
      <c r="A4098" s="11" t="s">
        <v>104</v>
      </c>
      <c r="B4098" s="6">
        <f t="shared" si="803"/>
        <v>-6.5439999999999996</v>
      </c>
      <c r="C4098" s="6">
        <f>C4001+C4052</f>
        <v>-0.63700000000000001</v>
      </c>
      <c r="D4098" s="6">
        <f>D4001+D4052</f>
        <v>-9.8000000000000004E-2</v>
      </c>
      <c r="E4098" s="30">
        <f t="shared" si="807"/>
        <v>0</v>
      </c>
      <c r="F4098" s="9"/>
      <c r="G4098" s="6">
        <f t="shared" si="808"/>
        <v>0.253</v>
      </c>
      <c r="H4098" s="10"/>
    </row>
    <row r="4099" spans="1:8">
      <c r="A4099" s="11" t="s">
        <v>112</v>
      </c>
      <c r="B4099" s="6">
        <f t="shared" si="803"/>
        <v>-0.56200000000000006</v>
      </c>
      <c r="C4099" s="9"/>
      <c r="D4099" s="9"/>
      <c r="E4099" s="30">
        <f t="shared" si="807"/>
        <v>43.1</v>
      </c>
      <c r="F4099" s="9"/>
      <c r="G4099" s="6">
        <f t="shared" si="808"/>
        <v>0.20699999999999999</v>
      </c>
      <c r="H4099" s="10"/>
    </row>
    <row r="4100" spans="1:8">
      <c r="A4100" s="11" t="s">
        <v>113</v>
      </c>
      <c r="B4100" s="6">
        <f t="shared" si="803"/>
        <v>-4.625</v>
      </c>
      <c r="C4100" s="6">
        <f>C4003+C4054</f>
        <v>-0.42499999999999999</v>
      </c>
      <c r="D4100" s="6">
        <f>D4003+D4054</f>
        <v>-7.0000000000000007E-2</v>
      </c>
      <c r="E4100" s="30">
        <f t="shared" si="807"/>
        <v>43.1</v>
      </c>
      <c r="F4100" s="9"/>
      <c r="G4100" s="6">
        <f t="shared" si="808"/>
        <v>0.20699999999999999</v>
      </c>
      <c r="H4100" s="10"/>
    </row>
    <row r="4102" spans="1:8" ht="21" customHeight="1">
      <c r="A4102" s="1" t="s">
        <v>1197</v>
      </c>
    </row>
    <row r="4103" spans="1:8">
      <c r="A4103" s="2" t="s">
        <v>255</v>
      </c>
    </row>
    <row r="4104" spans="1:8">
      <c r="A4104" s="12" t="s">
        <v>381</v>
      </c>
    </row>
    <row r="4105" spans="1:8">
      <c r="A4105" s="12" t="s">
        <v>1198</v>
      </c>
    </row>
    <row r="4106" spans="1:8">
      <c r="A4106" s="12" t="s">
        <v>794</v>
      </c>
    </row>
    <row r="4107" spans="1:8">
      <c r="A4107" s="12" t="s">
        <v>1199</v>
      </c>
    </row>
    <row r="4108" spans="1:8">
      <c r="A4108" s="12" t="s">
        <v>796</v>
      </c>
    </row>
    <row r="4109" spans="1:8">
      <c r="A4109" s="12" t="s">
        <v>1200</v>
      </c>
    </row>
    <row r="4110" spans="1:8">
      <c r="A4110" s="12" t="s">
        <v>798</v>
      </c>
    </row>
    <row r="4111" spans="1:8">
      <c r="A4111" s="12" t="s">
        <v>1201</v>
      </c>
    </row>
    <row r="4112" spans="1:8">
      <c r="A4112" s="12" t="s">
        <v>800</v>
      </c>
    </row>
    <row r="4113" spans="1:3">
      <c r="A4113" s="12" t="s">
        <v>1202</v>
      </c>
    </row>
    <row r="4114" spans="1:3">
      <c r="A4114" s="12" t="s">
        <v>802</v>
      </c>
    </row>
    <row r="4115" spans="1:3">
      <c r="A4115" s="12" t="s">
        <v>1196</v>
      </c>
    </row>
    <row r="4116" spans="1:3">
      <c r="A4116" s="12" t="s">
        <v>804</v>
      </c>
    </row>
    <row r="4117" spans="1:3">
      <c r="A4117" s="2" t="s">
        <v>805</v>
      </c>
    </row>
    <row r="4119" spans="1:3" ht="30">
      <c r="B4119" s="3" t="s">
        <v>1203</v>
      </c>
    </row>
    <row r="4120" spans="1:3">
      <c r="A4120" s="11" t="s">
        <v>92</v>
      </c>
      <c r="B4120" s="15">
        <f t="shared" ref="B4120:B4146" si="809">0.01*F$14*($E4028*E1170+$F4028*F1170)+10*($B4028*B1170+$C4028*C1170+$D4028*D1170+$G4028*G1170)</f>
        <v>-9016.3233678705219</v>
      </c>
      <c r="C4120" s="10"/>
    </row>
    <row r="4121" spans="1:3">
      <c r="A4121" s="11" t="s">
        <v>93</v>
      </c>
      <c r="B4121" s="15">
        <f t="shared" si="809"/>
        <v>44.528815874615375</v>
      </c>
      <c r="C4121" s="10"/>
    </row>
    <row r="4122" spans="1:3">
      <c r="A4122" s="11" t="s">
        <v>129</v>
      </c>
      <c r="B4122" s="15">
        <f t="shared" si="809"/>
        <v>-10.350309138024516</v>
      </c>
      <c r="C4122" s="10"/>
    </row>
    <row r="4123" spans="1:3">
      <c r="A4123" s="11" t="s">
        <v>94</v>
      </c>
      <c r="B4123" s="15">
        <f t="shared" si="809"/>
        <v>2975.2768790522882</v>
      </c>
      <c r="C4123" s="10"/>
    </row>
    <row r="4124" spans="1:3">
      <c r="A4124" s="11" t="s">
        <v>95</v>
      </c>
      <c r="B4124" s="15">
        <f t="shared" si="809"/>
        <v>-704.03221520455486</v>
      </c>
      <c r="C4124" s="10"/>
    </row>
    <row r="4125" spans="1:3">
      <c r="A4125" s="11" t="s">
        <v>130</v>
      </c>
      <c r="B4125" s="15">
        <f t="shared" si="809"/>
        <v>-8.8974261911931798</v>
      </c>
      <c r="C4125" s="10"/>
    </row>
    <row r="4126" spans="1:3">
      <c r="A4126" s="11" t="s">
        <v>96</v>
      </c>
      <c r="B4126" s="15">
        <f t="shared" si="809"/>
        <v>-1402.4835479783646</v>
      </c>
      <c r="C4126" s="10"/>
    </row>
    <row r="4127" spans="1:3">
      <c r="A4127" s="11" t="s">
        <v>97</v>
      </c>
      <c r="B4127" s="15">
        <f t="shared" si="809"/>
        <v>-0.97759254935737105</v>
      </c>
      <c r="C4127" s="10"/>
    </row>
    <row r="4128" spans="1:3">
      <c r="A4128" s="11" t="s">
        <v>110</v>
      </c>
      <c r="B4128" s="15">
        <f t="shared" si="809"/>
        <v>1.1743218627425427</v>
      </c>
      <c r="C4128" s="10"/>
    </row>
    <row r="4129" spans="1:3">
      <c r="A4129" s="11" t="s">
        <v>1647</v>
      </c>
      <c r="B4129" s="15">
        <f t="shared" si="809"/>
        <v>0</v>
      </c>
      <c r="C4129" s="10"/>
    </row>
    <row r="4130" spans="1:3">
      <c r="A4130" s="11" t="s">
        <v>1646</v>
      </c>
      <c r="B4130" s="15">
        <f t="shared" si="809"/>
        <v>0</v>
      </c>
      <c r="C4130" s="10"/>
    </row>
    <row r="4131" spans="1:3">
      <c r="A4131" s="11" t="s">
        <v>98</v>
      </c>
      <c r="B4131" s="15">
        <f t="shared" si="809"/>
        <v>12630.82688185931</v>
      </c>
      <c r="C4131" s="10"/>
    </row>
    <row r="4132" spans="1:3">
      <c r="A4132" s="11" t="s">
        <v>99</v>
      </c>
      <c r="B4132" s="15">
        <f t="shared" si="809"/>
        <v>19.95213322270812</v>
      </c>
      <c r="C4132" s="10"/>
    </row>
    <row r="4133" spans="1:3">
      <c r="A4133" s="11" t="s">
        <v>111</v>
      </c>
      <c r="B4133" s="15">
        <f t="shared" si="809"/>
        <v>-10149.176939464187</v>
      </c>
      <c r="C4133" s="10"/>
    </row>
    <row r="4134" spans="1:3">
      <c r="A4134" s="11" t="s">
        <v>131</v>
      </c>
      <c r="B4134" s="15">
        <f t="shared" si="809"/>
        <v>-11.395283372147023</v>
      </c>
      <c r="C4134" s="10"/>
    </row>
    <row r="4135" spans="1:3">
      <c r="A4135" s="11" t="s">
        <v>132</v>
      </c>
      <c r="B4135" s="15">
        <f t="shared" si="809"/>
        <v>-12.093013957282629</v>
      </c>
      <c r="C4135" s="10"/>
    </row>
    <row r="4136" spans="1:3">
      <c r="A4136" s="11" t="s">
        <v>133</v>
      </c>
      <c r="B4136" s="15">
        <f t="shared" si="809"/>
        <v>-1.8511221676944221</v>
      </c>
      <c r="C4136" s="10"/>
    </row>
    <row r="4137" spans="1:3">
      <c r="A4137" s="11" t="s">
        <v>134</v>
      </c>
      <c r="B4137" s="15">
        <f t="shared" si="809"/>
        <v>0</v>
      </c>
      <c r="C4137" s="10"/>
    </row>
    <row r="4138" spans="1:3">
      <c r="A4138" s="11" t="s">
        <v>135</v>
      </c>
      <c r="B4138" s="15">
        <f t="shared" si="809"/>
        <v>371.79925398505952</v>
      </c>
      <c r="C4138" s="10"/>
    </row>
    <row r="4139" spans="1:3">
      <c r="A4139" s="11" t="s">
        <v>1645</v>
      </c>
      <c r="B4139" s="15">
        <f t="shared" si="809"/>
        <v>-1.5287695985690668</v>
      </c>
      <c r="C4139" s="10"/>
    </row>
    <row r="4140" spans="1:3">
      <c r="A4140" s="11" t="s">
        <v>100</v>
      </c>
      <c r="B4140" s="15">
        <f t="shared" si="809"/>
        <v>0</v>
      </c>
      <c r="C4140" s="10"/>
    </row>
    <row r="4141" spans="1:3">
      <c r="A4141" s="11" t="s">
        <v>101</v>
      </c>
      <c r="B4141" s="15">
        <f t="shared" si="809"/>
        <v>-23.369970969545584</v>
      </c>
      <c r="C4141" s="10"/>
    </row>
    <row r="4142" spans="1:3">
      <c r="A4142" s="11" t="s">
        <v>102</v>
      </c>
      <c r="B4142" s="15">
        <f t="shared" si="809"/>
        <v>-3.8298450368124022</v>
      </c>
      <c r="C4142" s="10"/>
    </row>
    <row r="4143" spans="1:3">
      <c r="A4143" s="11" t="s">
        <v>103</v>
      </c>
      <c r="B4143" s="15">
        <f t="shared" si="809"/>
        <v>3.8677246181119736E-2</v>
      </c>
      <c r="C4143" s="10"/>
    </row>
    <row r="4144" spans="1:3">
      <c r="A4144" s="11" t="s">
        <v>104</v>
      </c>
      <c r="B4144" s="15">
        <f t="shared" si="809"/>
        <v>0</v>
      </c>
      <c r="C4144" s="10"/>
    </row>
    <row r="4145" spans="1:6">
      <c r="A4145" s="11" t="s">
        <v>112</v>
      </c>
      <c r="B4145" s="15">
        <f t="shared" si="809"/>
        <v>-115.15533582978011</v>
      </c>
      <c r="C4145" s="10"/>
    </row>
    <row r="4146" spans="1:6">
      <c r="A4146" s="11" t="s">
        <v>113</v>
      </c>
      <c r="B4146" s="15">
        <f t="shared" si="809"/>
        <v>-209.8307314725042</v>
      </c>
      <c r="C4146" s="10"/>
    </row>
    <row r="4148" spans="1:6" ht="21" customHeight="1">
      <c r="A4148" s="1" t="s">
        <v>1204</v>
      </c>
    </row>
    <row r="4149" spans="1:6">
      <c r="A4149" s="2" t="s">
        <v>255</v>
      </c>
    </row>
    <row r="4150" spans="1:6">
      <c r="A4150" s="12" t="s">
        <v>1594</v>
      </c>
    </row>
    <row r="4151" spans="1:6">
      <c r="A4151" s="12" t="s">
        <v>1205</v>
      </c>
    </row>
    <row r="4152" spans="1:6">
      <c r="A4152" s="12" t="s">
        <v>1206</v>
      </c>
    </row>
    <row r="4153" spans="1:6">
      <c r="A4153" s="12" t="s">
        <v>1207</v>
      </c>
    </row>
    <row r="4154" spans="1:6">
      <c r="A4154" s="12" t="s">
        <v>1208</v>
      </c>
    </row>
    <row r="4155" spans="1:6">
      <c r="A4155" s="12" t="s">
        <v>1209</v>
      </c>
    </row>
    <row r="4156" spans="1:6">
      <c r="A4156" s="12" t="s">
        <v>1210</v>
      </c>
    </row>
    <row r="4157" spans="1:6">
      <c r="A4157" s="12" t="s">
        <v>1593</v>
      </c>
    </row>
    <row r="4158" spans="1:6">
      <c r="A4158" s="21" t="s">
        <v>258</v>
      </c>
      <c r="B4158" s="21" t="s">
        <v>314</v>
      </c>
      <c r="C4158" s="21" t="s">
        <v>386</v>
      </c>
      <c r="D4158" s="21" t="s">
        <v>386</v>
      </c>
      <c r="E4158" s="21" t="s">
        <v>385</v>
      </c>
      <c r="F4158" s="21" t="s">
        <v>385</v>
      </c>
    </row>
    <row r="4159" spans="1:6">
      <c r="A4159" s="21" t="s">
        <v>261</v>
      </c>
      <c r="B4159" s="21" t="s">
        <v>316</v>
      </c>
      <c r="C4159" s="21" t="s">
        <v>437</v>
      </c>
      <c r="D4159" s="21" t="s">
        <v>438</v>
      </c>
      <c r="E4159" s="21" t="s">
        <v>1211</v>
      </c>
      <c r="F4159" s="21" t="s">
        <v>1212</v>
      </c>
    </row>
    <row r="4161" spans="1:7" ht="30">
      <c r="B4161" s="3" t="s">
        <v>810</v>
      </c>
      <c r="C4161" s="3" t="s">
        <v>1213</v>
      </c>
      <c r="D4161" s="3" t="s">
        <v>1214</v>
      </c>
      <c r="E4161" s="3" t="s">
        <v>1215</v>
      </c>
      <c r="F4161" s="3" t="s">
        <v>1216</v>
      </c>
    </row>
    <row r="4162" spans="1:7">
      <c r="A4162" s="11" t="s">
        <v>1217</v>
      </c>
      <c r="B4162" s="15">
        <f>B3506</f>
        <v>145600303.99552554</v>
      </c>
      <c r="C4162" s="15">
        <f>SUM($H$3929:$H$3955)</f>
        <v>94672218.528004587</v>
      </c>
      <c r="D4162" s="15">
        <f>SUM(B$4120:B$4146)</f>
        <v>-5627.6985076976353</v>
      </c>
      <c r="E4162" s="15">
        <f>B4162+C4162+D4162</f>
        <v>240266894.82502243</v>
      </c>
      <c r="F4162" s="15">
        <f>E4162-B325</f>
        <v>-5627.6985077261925</v>
      </c>
      <c r="G4162" s="10"/>
    </row>
    <row r="4164" spans="1:7" ht="21" customHeight="1">
      <c r="A4164" s="1" t="s">
        <v>1218</v>
      </c>
    </row>
    <row r="4165" spans="1:7">
      <c r="A4165" s="2" t="s">
        <v>255</v>
      </c>
    </row>
    <row r="4166" spans="1:7">
      <c r="A4166" s="12" t="s">
        <v>1219</v>
      </c>
    </row>
    <row r="4167" spans="1:7">
      <c r="A4167" s="12" t="s">
        <v>1220</v>
      </c>
    </row>
    <row r="4168" spans="1:7">
      <c r="A4168" s="12" t="s">
        <v>1221</v>
      </c>
    </row>
    <row r="4169" spans="1:7">
      <c r="A4169" s="12" t="s">
        <v>1222</v>
      </c>
    </row>
    <row r="4170" spans="1:7">
      <c r="A4170" s="12" t="s">
        <v>1223</v>
      </c>
    </row>
    <row r="4171" spans="1:7">
      <c r="A4171" s="12" t="s">
        <v>1224</v>
      </c>
    </row>
    <row r="4172" spans="1:7">
      <c r="A4172" s="12" t="s">
        <v>1225</v>
      </c>
    </row>
    <row r="4173" spans="1:7">
      <c r="A4173" s="12" t="s">
        <v>1226</v>
      </c>
    </row>
    <row r="4174" spans="1:7">
      <c r="A4174" s="21" t="s">
        <v>258</v>
      </c>
      <c r="B4174" s="21" t="s">
        <v>385</v>
      </c>
      <c r="C4174" s="21" t="s">
        <v>385</v>
      </c>
      <c r="D4174" s="21" t="s">
        <v>385</v>
      </c>
      <c r="E4174" s="21" t="s">
        <v>385</v>
      </c>
      <c r="F4174" s="21" t="s">
        <v>385</v>
      </c>
      <c r="G4174" s="21" t="s">
        <v>385</v>
      </c>
    </row>
    <row r="4175" spans="1:7">
      <c r="A4175" s="21" t="s">
        <v>261</v>
      </c>
      <c r="B4175" s="21" t="s">
        <v>1227</v>
      </c>
      <c r="C4175" s="21" t="s">
        <v>1228</v>
      </c>
      <c r="D4175" s="21" t="s">
        <v>1229</v>
      </c>
      <c r="E4175" s="21" t="s">
        <v>1230</v>
      </c>
      <c r="F4175" s="21" t="s">
        <v>1231</v>
      </c>
      <c r="G4175" s="21" t="s">
        <v>1232</v>
      </c>
    </row>
    <row r="4177" spans="1:8" ht="30">
      <c r="B4177" s="3" t="s">
        <v>1164</v>
      </c>
      <c r="C4177" s="3" t="s">
        <v>1165</v>
      </c>
      <c r="D4177" s="3" t="s">
        <v>1166</v>
      </c>
      <c r="E4177" s="3" t="s">
        <v>1167</v>
      </c>
      <c r="F4177" s="3" t="s">
        <v>1168</v>
      </c>
      <c r="G4177" s="3" t="s">
        <v>791</v>
      </c>
    </row>
    <row r="4178" spans="1:8">
      <c r="A4178" s="17" t="s">
        <v>146</v>
      </c>
      <c r="H4178" s="10"/>
    </row>
    <row r="4179" spans="1:8">
      <c r="A4179" s="11" t="s">
        <v>92</v>
      </c>
      <c r="B4179" s="6">
        <f t="shared" ref="B4179:D4181" si="810">ROUND(B$4074*(1-$B1061),3)</f>
        <v>3.0840000000000001</v>
      </c>
      <c r="C4179" s="6">
        <f t="shared" si="810"/>
        <v>0</v>
      </c>
      <c r="D4179" s="6">
        <f t="shared" si="810"/>
        <v>0</v>
      </c>
      <c r="E4179" s="32">
        <f>ROUND(E$4074*(1-$C1061),2)</f>
        <v>4.6500000000000004</v>
      </c>
      <c r="F4179" s="32">
        <f>ROUND(F$4074*(1-$B1061),2)</f>
        <v>0</v>
      </c>
      <c r="G4179" s="6">
        <f>ROUND(G$4074*(1-$B1061),3)</f>
        <v>0</v>
      </c>
      <c r="H4179" s="10"/>
    </row>
    <row r="4180" spans="1:8">
      <c r="A4180" s="11" t="s">
        <v>147</v>
      </c>
      <c r="B4180" s="6">
        <f t="shared" si="810"/>
        <v>2.0979999999999999</v>
      </c>
      <c r="C4180" s="6">
        <f t="shared" si="810"/>
        <v>0</v>
      </c>
      <c r="D4180" s="6">
        <f t="shared" si="810"/>
        <v>0</v>
      </c>
      <c r="E4180" s="32">
        <f>ROUND(E$4074*(1-$C1062),2)</f>
        <v>3.16</v>
      </c>
      <c r="F4180" s="32">
        <f>ROUND(F$4074*(1-$B1062),2)</f>
        <v>0</v>
      </c>
      <c r="G4180" s="6">
        <f>ROUND(G$4074*(1-$B1062),3)</f>
        <v>0</v>
      </c>
      <c r="H4180" s="10"/>
    </row>
    <row r="4181" spans="1:8">
      <c r="A4181" s="11" t="s">
        <v>148</v>
      </c>
      <c r="B4181" s="6">
        <f t="shared" si="810"/>
        <v>1.115</v>
      </c>
      <c r="C4181" s="6">
        <f t="shared" si="810"/>
        <v>0</v>
      </c>
      <c r="D4181" s="6">
        <f t="shared" si="810"/>
        <v>0</v>
      </c>
      <c r="E4181" s="32">
        <f>ROUND(E$4074*(1-$C1063),2)</f>
        <v>1.68</v>
      </c>
      <c r="F4181" s="32">
        <f>ROUND(F$4074*(1-$B1063),2)</f>
        <v>0</v>
      </c>
      <c r="G4181" s="6">
        <f>ROUND(G$4074*(1-$B1063),3)</f>
        <v>0</v>
      </c>
      <c r="H4181" s="10"/>
    </row>
    <row r="4182" spans="1:8">
      <c r="A4182" s="17" t="s">
        <v>149</v>
      </c>
      <c r="H4182" s="10"/>
    </row>
    <row r="4183" spans="1:8">
      <c r="A4183" s="11" t="s">
        <v>93</v>
      </c>
      <c r="B4183" s="6">
        <f t="shared" ref="B4183:D4185" si="811">ROUND(B$4075*(1-$B1065),3)</f>
        <v>3.343</v>
      </c>
      <c r="C4183" s="6">
        <f t="shared" si="811"/>
        <v>0.20899999999999999</v>
      </c>
      <c r="D4183" s="6">
        <f t="shared" si="811"/>
        <v>0</v>
      </c>
      <c r="E4183" s="32">
        <f>ROUND(E$4075*(1-$C1065),2)</f>
        <v>4.6500000000000004</v>
      </c>
      <c r="F4183" s="32">
        <f>ROUND(F$4075*(1-$B1065),2)</f>
        <v>0</v>
      </c>
      <c r="G4183" s="6">
        <f>ROUND(G$4075*(1-$B1065),3)</f>
        <v>0</v>
      </c>
      <c r="H4183" s="10"/>
    </row>
    <row r="4184" spans="1:8">
      <c r="A4184" s="11" t="s">
        <v>150</v>
      </c>
      <c r="B4184" s="6">
        <f t="shared" si="811"/>
        <v>2.274</v>
      </c>
      <c r="C4184" s="6">
        <f t="shared" si="811"/>
        <v>0.14199999999999999</v>
      </c>
      <c r="D4184" s="6">
        <f t="shared" si="811"/>
        <v>0</v>
      </c>
      <c r="E4184" s="32">
        <f>ROUND(E$4075*(1-$C1066),2)</f>
        <v>3.16</v>
      </c>
      <c r="F4184" s="32">
        <f>ROUND(F$4075*(1-$B1066),2)</f>
        <v>0</v>
      </c>
      <c r="G4184" s="6">
        <f>ROUND(G$4075*(1-$B1066),3)</f>
        <v>0</v>
      </c>
      <c r="H4184" s="10"/>
    </row>
    <row r="4185" spans="1:8">
      <c r="A4185" s="11" t="s">
        <v>151</v>
      </c>
      <c r="B4185" s="6">
        <f t="shared" si="811"/>
        <v>1.2090000000000001</v>
      </c>
      <c r="C4185" s="6">
        <f t="shared" si="811"/>
        <v>7.5999999999999998E-2</v>
      </c>
      <c r="D4185" s="6">
        <f t="shared" si="811"/>
        <v>0</v>
      </c>
      <c r="E4185" s="32">
        <f>ROUND(E$4075*(1-$C1067),2)</f>
        <v>1.68</v>
      </c>
      <c r="F4185" s="32">
        <f>ROUND(F$4075*(1-$B1067),2)</f>
        <v>0</v>
      </c>
      <c r="G4185" s="6">
        <f>ROUND(G$4075*(1-$B1067),3)</f>
        <v>0</v>
      </c>
      <c r="H4185" s="10"/>
    </row>
    <row r="4186" spans="1:8">
      <c r="A4186" s="17" t="s">
        <v>152</v>
      </c>
      <c r="H4186" s="10"/>
    </row>
    <row r="4187" spans="1:8">
      <c r="A4187" s="11" t="s">
        <v>129</v>
      </c>
      <c r="B4187" s="6">
        <f t="shared" ref="B4187:D4189" si="812">ROUND(B$4076*(1-$B1069),3)</f>
        <v>0.315</v>
      </c>
      <c r="C4187" s="6">
        <f t="shared" si="812"/>
        <v>0</v>
      </c>
      <c r="D4187" s="6">
        <f t="shared" si="812"/>
        <v>0</v>
      </c>
      <c r="E4187" s="32">
        <f>ROUND(E$4076*(1-$C1069),2)</f>
        <v>0</v>
      </c>
      <c r="F4187" s="32">
        <f>ROUND(F$4076*(1-$B1069),2)</f>
        <v>0</v>
      </c>
      <c r="G4187" s="6">
        <f>ROUND(G$4076*(1-$B1069),3)</f>
        <v>0</v>
      </c>
      <c r="H4187" s="10"/>
    </row>
    <row r="4188" spans="1:8">
      <c r="A4188" s="11" t="s">
        <v>153</v>
      </c>
      <c r="B4188" s="6">
        <f t="shared" si="812"/>
        <v>0.214</v>
      </c>
      <c r="C4188" s="6">
        <f t="shared" si="812"/>
        <v>0</v>
      </c>
      <c r="D4188" s="6">
        <f t="shared" si="812"/>
        <v>0</v>
      </c>
      <c r="E4188" s="32">
        <f>ROUND(E$4076*(1-$C1070),2)</f>
        <v>0</v>
      </c>
      <c r="F4188" s="32">
        <f>ROUND(F$4076*(1-$B1070),2)</f>
        <v>0</v>
      </c>
      <c r="G4188" s="6">
        <f>ROUND(G$4076*(1-$B1070),3)</f>
        <v>0</v>
      </c>
      <c r="H4188" s="10"/>
    </row>
    <row r="4189" spans="1:8">
      <c r="A4189" s="11" t="s">
        <v>154</v>
      </c>
      <c r="B4189" s="6">
        <f t="shared" si="812"/>
        <v>0.114</v>
      </c>
      <c r="C4189" s="6">
        <f t="shared" si="812"/>
        <v>0</v>
      </c>
      <c r="D4189" s="6">
        <f t="shared" si="812"/>
        <v>0</v>
      </c>
      <c r="E4189" s="32">
        <f>ROUND(E$4076*(1-$C1071),2)</f>
        <v>0</v>
      </c>
      <c r="F4189" s="32">
        <f>ROUND(F$4076*(1-$B1071),2)</f>
        <v>0</v>
      </c>
      <c r="G4189" s="6">
        <f>ROUND(G$4076*(1-$B1071),3)</f>
        <v>0</v>
      </c>
      <c r="H4189" s="10"/>
    </row>
    <row r="4190" spans="1:8">
      <c r="A4190" s="17" t="s">
        <v>155</v>
      </c>
      <c r="H4190" s="10"/>
    </row>
    <row r="4191" spans="1:8">
      <c r="A4191" s="11" t="s">
        <v>94</v>
      </c>
      <c r="B4191" s="6">
        <f t="shared" ref="B4191:D4193" si="813">ROUND(B$4077*(1-$B1073),3)</f>
        <v>2.4260000000000002</v>
      </c>
      <c r="C4191" s="6">
        <f t="shared" si="813"/>
        <v>0</v>
      </c>
      <c r="D4191" s="6">
        <f t="shared" si="813"/>
        <v>0</v>
      </c>
      <c r="E4191" s="32">
        <f>ROUND(E$4077*(1-$C1073),2)</f>
        <v>7.82</v>
      </c>
      <c r="F4191" s="32">
        <f>ROUND(F$4077*(1-$B1073),2)</f>
        <v>0</v>
      </c>
      <c r="G4191" s="6">
        <f>ROUND(G$4077*(1-$B1073),3)</f>
        <v>0</v>
      </c>
      <c r="H4191" s="10"/>
    </row>
    <row r="4192" spans="1:8">
      <c r="A4192" s="11" t="s">
        <v>156</v>
      </c>
      <c r="B4192" s="6">
        <f t="shared" si="813"/>
        <v>1.651</v>
      </c>
      <c r="C4192" s="6">
        <f t="shared" si="813"/>
        <v>0</v>
      </c>
      <c r="D4192" s="6">
        <f t="shared" si="813"/>
        <v>0</v>
      </c>
      <c r="E4192" s="32">
        <f>ROUND(E$4077*(1-$C1074),2)</f>
        <v>5.32</v>
      </c>
      <c r="F4192" s="32">
        <f>ROUND(F$4077*(1-$B1074),2)</f>
        <v>0</v>
      </c>
      <c r="G4192" s="6">
        <f>ROUND(G$4077*(1-$B1074),3)</f>
        <v>0</v>
      </c>
      <c r="H4192" s="10"/>
    </row>
    <row r="4193" spans="1:8">
      <c r="A4193" s="11" t="s">
        <v>157</v>
      </c>
      <c r="B4193" s="6">
        <f t="shared" si="813"/>
        <v>0.877</v>
      </c>
      <c r="C4193" s="6">
        <f t="shared" si="813"/>
        <v>0</v>
      </c>
      <c r="D4193" s="6">
        <f t="shared" si="813"/>
        <v>0</v>
      </c>
      <c r="E4193" s="32">
        <f>ROUND(E$4077*(1-$C1075),2)</f>
        <v>2.83</v>
      </c>
      <c r="F4193" s="32">
        <f>ROUND(F$4077*(1-$B1075),2)</f>
        <v>0</v>
      </c>
      <c r="G4193" s="6">
        <f>ROUND(G$4077*(1-$B1075),3)</f>
        <v>0</v>
      </c>
      <c r="H4193" s="10"/>
    </row>
    <row r="4194" spans="1:8">
      <c r="A4194" s="17" t="s">
        <v>158</v>
      </c>
      <c r="H4194" s="10"/>
    </row>
    <row r="4195" spans="1:8">
      <c r="A4195" s="11" t="s">
        <v>95</v>
      </c>
      <c r="B4195" s="6">
        <f t="shared" ref="B4195:D4197" si="814">ROUND(B$4078*(1-$B1077),3)</f>
        <v>3.125</v>
      </c>
      <c r="C4195" s="6">
        <f t="shared" si="814"/>
        <v>0.26900000000000002</v>
      </c>
      <c r="D4195" s="6">
        <f t="shared" si="814"/>
        <v>0</v>
      </c>
      <c r="E4195" s="32">
        <f>ROUND(E$4078*(1-$C1077),2)</f>
        <v>7.82</v>
      </c>
      <c r="F4195" s="32">
        <f>ROUND(F$4078*(1-$B1077),2)</f>
        <v>0</v>
      </c>
      <c r="G4195" s="6">
        <f>ROUND(G$4078*(1-$B1077),3)</f>
        <v>0</v>
      </c>
      <c r="H4195" s="10"/>
    </row>
    <row r="4196" spans="1:8">
      <c r="A4196" s="11" t="s">
        <v>159</v>
      </c>
      <c r="B4196" s="6">
        <f t="shared" si="814"/>
        <v>2.1259999999999999</v>
      </c>
      <c r="C4196" s="6">
        <f t="shared" si="814"/>
        <v>0.183</v>
      </c>
      <c r="D4196" s="6">
        <f t="shared" si="814"/>
        <v>0</v>
      </c>
      <c r="E4196" s="32">
        <f>ROUND(E$4078*(1-$C1078),2)</f>
        <v>5.32</v>
      </c>
      <c r="F4196" s="32">
        <f>ROUND(F$4078*(1-$B1078),2)</f>
        <v>0</v>
      </c>
      <c r="G4196" s="6">
        <f>ROUND(G$4078*(1-$B1078),3)</f>
        <v>0</v>
      </c>
      <c r="H4196" s="10"/>
    </row>
    <row r="4197" spans="1:8">
      <c r="A4197" s="11" t="s">
        <v>160</v>
      </c>
      <c r="B4197" s="6">
        <f t="shared" si="814"/>
        <v>1.1299999999999999</v>
      </c>
      <c r="C4197" s="6">
        <f t="shared" si="814"/>
        <v>9.7000000000000003E-2</v>
      </c>
      <c r="D4197" s="6">
        <f t="shared" si="814"/>
        <v>0</v>
      </c>
      <c r="E4197" s="32">
        <f>ROUND(E$4078*(1-$C1079),2)</f>
        <v>2.83</v>
      </c>
      <c r="F4197" s="32">
        <f>ROUND(F$4078*(1-$B1079),2)</f>
        <v>0</v>
      </c>
      <c r="G4197" s="6">
        <f>ROUND(G$4078*(1-$B1079),3)</f>
        <v>0</v>
      </c>
      <c r="H4197" s="10"/>
    </row>
    <row r="4198" spans="1:8">
      <c r="A4198" s="17" t="s">
        <v>161</v>
      </c>
      <c r="H4198" s="10"/>
    </row>
    <row r="4199" spans="1:8">
      <c r="A4199" s="11" t="s">
        <v>130</v>
      </c>
      <c r="B4199" s="6">
        <f t="shared" ref="B4199:D4201" si="815">ROUND(B$4079*(1-$B1081),3)</f>
        <v>0.32600000000000001</v>
      </c>
      <c r="C4199" s="6">
        <f t="shared" si="815"/>
        <v>0</v>
      </c>
      <c r="D4199" s="6">
        <f t="shared" si="815"/>
        <v>0</v>
      </c>
      <c r="E4199" s="32">
        <f>ROUND(E$4079*(1-$C1081),2)</f>
        <v>0</v>
      </c>
      <c r="F4199" s="32">
        <f>ROUND(F$4079*(1-$B1081),2)</f>
        <v>0</v>
      </c>
      <c r="G4199" s="6">
        <f>ROUND(G$4079*(1-$B1081),3)</f>
        <v>0</v>
      </c>
      <c r="H4199" s="10"/>
    </row>
    <row r="4200" spans="1:8" ht="30">
      <c r="A4200" s="11" t="s">
        <v>162</v>
      </c>
      <c r="B4200" s="6">
        <f t="shared" si="815"/>
        <v>0.222</v>
      </c>
      <c r="C4200" s="6">
        <f t="shared" si="815"/>
        <v>0</v>
      </c>
      <c r="D4200" s="6">
        <f t="shared" si="815"/>
        <v>0</v>
      </c>
      <c r="E4200" s="32">
        <f>ROUND(E$4079*(1-$C1082),2)</f>
        <v>0</v>
      </c>
      <c r="F4200" s="32">
        <f>ROUND(F$4079*(1-$B1082),2)</f>
        <v>0</v>
      </c>
      <c r="G4200" s="6">
        <f>ROUND(G$4079*(1-$B1082),3)</f>
        <v>0</v>
      </c>
      <c r="H4200" s="10"/>
    </row>
    <row r="4201" spans="1:8" ht="30">
      <c r="A4201" s="11" t="s">
        <v>163</v>
      </c>
      <c r="B4201" s="6">
        <f t="shared" si="815"/>
        <v>0.11799999999999999</v>
      </c>
      <c r="C4201" s="6">
        <f t="shared" si="815"/>
        <v>0</v>
      </c>
      <c r="D4201" s="6">
        <f t="shared" si="815"/>
        <v>0</v>
      </c>
      <c r="E4201" s="32">
        <f>ROUND(E$4079*(1-$C1083),2)</f>
        <v>0</v>
      </c>
      <c r="F4201" s="32">
        <f>ROUND(F$4079*(1-$B1083),2)</f>
        <v>0</v>
      </c>
      <c r="G4201" s="6">
        <f>ROUND(G$4079*(1-$B1083),3)</f>
        <v>0</v>
      </c>
      <c r="H4201" s="10"/>
    </row>
    <row r="4202" spans="1:8">
      <c r="A4202" s="17" t="s">
        <v>164</v>
      </c>
      <c r="H4202" s="10"/>
    </row>
    <row r="4203" spans="1:8">
      <c r="A4203" s="11" t="s">
        <v>96</v>
      </c>
      <c r="B4203" s="6">
        <f t="shared" ref="B4203:D4205" si="816">ROUND(B$4080*(1-$B1085),3)</f>
        <v>2.9140000000000001</v>
      </c>
      <c r="C4203" s="6">
        <f t="shared" si="816"/>
        <v>0.16200000000000001</v>
      </c>
      <c r="D4203" s="6">
        <f t="shared" si="816"/>
        <v>0</v>
      </c>
      <c r="E4203" s="32">
        <f>ROUND(E$4080*(1-$C1085),2)</f>
        <v>45.36</v>
      </c>
      <c r="F4203" s="32">
        <f>ROUND(F$4080*(1-$B1085),2)</f>
        <v>0</v>
      </c>
      <c r="G4203" s="6">
        <f>ROUND(G$4080*(1-$B1085),3)</f>
        <v>0</v>
      </c>
      <c r="H4203" s="10"/>
    </row>
    <row r="4204" spans="1:8">
      <c r="A4204" s="11" t="s">
        <v>165</v>
      </c>
      <c r="B4204" s="6">
        <f t="shared" si="816"/>
        <v>1.9830000000000001</v>
      </c>
      <c r="C4204" s="6">
        <f t="shared" si="816"/>
        <v>0.11</v>
      </c>
      <c r="D4204" s="6">
        <f t="shared" si="816"/>
        <v>0</v>
      </c>
      <c r="E4204" s="32">
        <f>ROUND(E$4080*(1-$C1086),2)</f>
        <v>30.86</v>
      </c>
      <c r="F4204" s="32">
        <f>ROUND(F$4080*(1-$B1086),2)</f>
        <v>0</v>
      </c>
      <c r="G4204" s="6">
        <f>ROUND(G$4080*(1-$B1086),3)</f>
        <v>0</v>
      </c>
      <c r="H4204" s="10"/>
    </row>
    <row r="4205" spans="1:8">
      <c r="A4205" s="11" t="s">
        <v>166</v>
      </c>
      <c r="B4205" s="6">
        <f t="shared" si="816"/>
        <v>1.054</v>
      </c>
      <c r="C4205" s="6">
        <f t="shared" si="816"/>
        <v>5.8999999999999997E-2</v>
      </c>
      <c r="D4205" s="6">
        <f t="shared" si="816"/>
        <v>0</v>
      </c>
      <c r="E4205" s="32">
        <f>ROUND(E$4080*(1-$C1087),2)</f>
        <v>16.399999999999999</v>
      </c>
      <c r="F4205" s="32">
        <f>ROUND(F$4080*(1-$B1087),2)</f>
        <v>0</v>
      </c>
      <c r="G4205" s="6">
        <f>ROUND(G$4080*(1-$B1087),3)</f>
        <v>0</v>
      </c>
      <c r="H4205" s="10"/>
    </row>
    <row r="4206" spans="1:8">
      <c r="A4206" s="17" t="s">
        <v>167</v>
      </c>
      <c r="H4206" s="10"/>
    </row>
    <row r="4207" spans="1:8">
      <c r="A4207" s="11" t="s">
        <v>97</v>
      </c>
      <c r="B4207" s="6">
        <f>ROUND(B$4081*(1-$B1089),3)</f>
        <v>2.79</v>
      </c>
      <c r="C4207" s="6">
        <f>ROUND(C$4081*(1-$B1089),3)</f>
        <v>0.15</v>
      </c>
      <c r="D4207" s="6">
        <f>ROUND(D$4081*(1-$B1089),3)</f>
        <v>0</v>
      </c>
      <c r="E4207" s="32">
        <f>ROUND(E$4081*(1-$C1089),2)</f>
        <v>32.770000000000003</v>
      </c>
      <c r="F4207" s="32">
        <f>ROUND(F$4081*(1-$B1089),2)</f>
        <v>0</v>
      </c>
      <c r="G4207" s="6">
        <f>ROUND(G$4081*(1-$B1089),3)</f>
        <v>0</v>
      </c>
      <c r="H4207" s="10"/>
    </row>
    <row r="4208" spans="1:8">
      <c r="A4208" s="17" t="s">
        <v>168</v>
      </c>
      <c r="H4208" s="10"/>
    </row>
    <row r="4209" spans="1:8">
      <c r="A4209" s="11" t="s">
        <v>110</v>
      </c>
      <c r="B4209" s="6">
        <f>ROUND(B$4082*(1-$B1091),3)</f>
        <v>2.048</v>
      </c>
      <c r="C4209" s="6">
        <f>ROUND(C$4082*(1-$B1091),3)</f>
        <v>9.1999999999999998E-2</v>
      </c>
      <c r="D4209" s="6">
        <f>ROUND(D$4082*(1-$B1091),3)</f>
        <v>0</v>
      </c>
      <c r="E4209" s="32">
        <f>ROUND(E$4082*(1-$C1091),2)</f>
        <v>169.78</v>
      </c>
      <c r="F4209" s="32">
        <f>ROUND(F$4082*(1-$B1091),2)</f>
        <v>0</v>
      </c>
      <c r="G4209" s="6">
        <f>ROUND(G$4082*(1-$B1091),3)</f>
        <v>0</v>
      </c>
      <c r="H4209" s="10"/>
    </row>
    <row r="4210" spans="1:8">
      <c r="A4210" s="17" t="s">
        <v>1650</v>
      </c>
      <c r="H4210" s="10"/>
    </row>
    <row r="4211" spans="1:8">
      <c r="A4211" s="11" t="s">
        <v>1647</v>
      </c>
      <c r="B4211" s="6">
        <f t="shared" ref="B4211:D4213" si="817">ROUND(B$4083*(1-$B1093),3)</f>
        <v>18.454999999999998</v>
      </c>
      <c r="C4211" s="6">
        <f t="shared" si="817"/>
        <v>1.8360000000000001</v>
      </c>
      <c r="D4211" s="6">
        <f t="shared" si="817"/>
        <v>0.16600000000000001</v>
      </c>
      <c r="E4211" s="32">
        <f>ROUND(E$4083*(1-$C1093),2)</f>
        <v>4.6500000000000004</v>
      </c>
      <c r="F4211" s="32">
        <f>ROUND(F$4083*(1-$B1093),2)</f>
        <v>0</v>
      </c>
      <c r="G4211" s="6">
        <f>ROUND(G$4083*(1-$B1093),3)</f>
        <v>0</v>
      </c>
      <c r="H4211" s="10"/>
    </row>
    <row r="4212" spans="1:8">
      <c r="A4212" s="11" t="s">
        <v>1644</v>
      </c>
      <c r="B4212" s="6">
        <f t="shared" si="817"/>
        <v>12.555999999999999</v>
      </c>
      <c r="C4212" s="6">
        <f t="shared" si="817"/>
        <v>1.2490000000000001</v>
      </c>
      <c r="D4212" s="6">
        <f t="shared" si="817"/>
        <v>0.113</v>
      </c>
      <c r="E4212" s="32">
        <f>ROUND(E$4083*(1-$C1094),2)</f>
        <v>3.16</v>
      </c>
      <c r="F4212" s="32">
        <f>ROUND(F$4083*(1-$B1094),2)</f>
        <v>0</v>
      </c>
      <c r="G4212" s="6">
        <f>ROUND(G$4083*(1-$B1094),3)</f>
        <v>0</v>
      </c>
      <c r="H4212" s="10"/>
    </row>
    <row r="4213" spans="1:8">
      <c r="A4213" s="11" t="s">
        <v>1641</v>
      </c>
      <c r="B4213" s="6">
        <f t="shared" si="817"/>
        <v>6.6719999999999997</v>
      </c>
      <c r="C4213" s="6">
        <f t="shared" si="817"/>
        <v>0.66400000000000003</v>
      </c>
      <c r="D4213" s="6">
        <f t="shared" si="817"/>
        <v>0.06</v>
      </c>
      <c r="E4213" s="32">
        <f>ROUND(E$4083*(1-$C1095),2)</f>
        <v>1.68</v>
      </c>
      <c r="F4213" s="32">
        <f>ROUND(F$4083*(1-$B1095),2)</f>
        <v>0</v>
      </c>
      <c r="G4213" s="6">
        <f>ROUND(G$4083*(1-$B1095),3)</f>
        <v>0</v>
      </c>
      <c r="H4213" s="10"/>
    </row>
    <row r="4214" spans="1:8">
      <c r="A4214" s="17" t="s">
        <v>1649</v>
      </c>
      <c r="H4214" s="10"/>
    </row>
    <row r="4215" spans="1:8">
      <c r="A4215" s="11" t="s">
        <v>1646</v>
      </c>
      <c r="B4215" s="6">
        <f t="shared" ref="B4215:D4217" si="818">ROUND(B$4084*(1-$B1097),3)</f>
        <v>18.466999999999999</v>
      </c>
      <c r="C4215" s="6">
        <f t="shared" si="818"/>
        <v>1.835</v>
      </c>
      <c r="D4215" s="6">
        <f t="shared" si="818"/>
        <v>0.16600000000000001</v>
      </c>
      <c r="E4215" s="32">
        <f>ROUND(E$4084*(1-$C1097),2)</f>
        <v>7.82</v>
      </c>
      <c r="F4215" s="32">
        <f>ROUND(F$4084*(1-$B1097),2)</f>
        <v>0</v>
      </c>
      <c r="G4215" s="6">
        <f>ROUND(G$4084*(1-$B1097),3)</f>
        <v>0</v>
      </c>
      <c r="H4215" s="10"/>
    </row>
    <row r="4216" spans="1:8">
      <c r="A4216" s="11" t="s">
        <v>1643</v>
      </c>
      <c r="B4216" s="6">
        <f t="shared" si="818"/>
        <v>12.564</v>
      </c>
      <c r="C4216" s="6">
        <f t="shared" si="818"/>
        <v>1.248</v>
      </c>
      <c r="D4216" s="6">
        <f t="shared" si="818"/>
        <v>0.113</v>
      </c>
      <c r="E4216" s="32">
        <f>ROUND(E$4084*(1-$C1098),2)</f>
        <v>5.32</v>
      </c>
      <c r="F4216" s="32">
        <f>ROUND(F$4084*(1-$B1098),2)</f>
        <v>0</v>
      </c>
      <c r="G4216" s="6">
        <f>ROUND(G$4084*(1-$B1098),3)</f>
        <v>0</v>
      </c>
      <c r="H4216" s="10"/>
    </row>
    <row r="4217" spans="1:8">
      <c r="A4217" s="11" t="s">
        <v>1640</v>
      </c>
      <c r="B4217" s="6">
        <f t="shared" si="818"/>
        <v>6.6760000000000002</v>
      </c>
      <c r="C4217" s="6">
        <f t="shared" si="818"/>
        <v>0.66300000000000003</v>
      </c>
      <c r="D4217" s="6">
        <f t="shared" si="818"/>
        <v>0.06</v>
      </c>
      <c r="E4217" s="32">
        <f>ROUND(E$4084*(1-$C1099),2)</f>
        <v>2.83</v>
      </c>
      <c r="F4217" s="32">
        <f>ROUND(F$4084*(1-$B1099),2)</f>
        <v>0</v>
      </c>
      <c r="G4217" s="6">
        <f>ROUND(G$4084*(1-$B1099),3)</f>
        <v>0</v>
      </c>
      <c r="H4217" s="10"/>
    </row>
    <row r="4218" spans="1:8">
      <c r="A4218" s="17" t="s">
        <v>169</v>
      </c>
      <c r="H4218" s="10"/>
    </row>
    <row r="4219" spans="1:8">
      <c r="A4219" s="11" t="s">
        <v>98</v>
      </c>
      <c r="B4219" s="6">
        <f t="shared" ref="B4219:D4221" si="819">ROUND(B$4085*(1-$B1101),3)</f>
        <v>14.289</v>
      </c>
      <c r="C4219" s="6">
        <f t="shared" si="819"/>
        <v>1.41</v>
      </c>
      <c r="D4219" s="6">
        <f t="shared" si="819"/>
        <v>0.122</v>
      </c>
      <c r="E4219" s="32">
        <f>ROUND(E$4085*(1-$C1101),2)</f>
        <v>11.7</v>
      </c>
      <c r="F4219" s="32">
        <f>ROUND(F$4085*(1-$B1101),2)</f>
        <v>3.04</v>
      </c>
      <c r="G4219" s="6">
        <f>ROUND(G$4085*(1-$B1101),3)</f>
        <v>0.505</v>
      </c>
      <c r="H4219" s="10"/>
    </row>
    <row r="4220" spans="1:8">
      <c r="A4220" s="11" t="s">
        <v>170</v>
      </c>
      <c r="B4220" s="6">
        <f t="shared" si="819"/>
        <v>9.7219999999999995</v>
      </c>
      <c r="C4220" s="6">
        <f t="shared" si="819"/>
        <v>0.95899999999999996</v>
      </c>
      <c r="D4220" s="6">
        <f t="shared" si="819"/>
        <v>8.3000000000000004E-2</v>
      </c>
      <c r="E4220" s="32">
        <f>ROUND(E$4085*(1-$C1102),2)</f>
        <v>7.96</v>
      </c>
      <c r="F4220" s="32">
        <f>ROUND(F$4085*(1-$B1102),2)</f>
        <v>2.0699999999999998</v>
      </c>
      <c r="G4220" s="6">
        <f>ROUND(G$4085*(1-$B1102),3)</f>
        <v>0.34399999999999997</v>
      </c>
      <c r="H4220" s="10"/>
    </row>
    <row r="4221" spans="1:8">
      <c r="A4221" s="11" t="s">
        <v>171</v>
      </c>
      <c r="B4221" s="6">
        <f t="shared" si="819"/>
        <v>5.1660000000000004</v>
      </c>
      <c r="C4221" s="6">
        <f t="shared" si="819"/>
        <v>0.51</v>
      </c>
      <c r="D4221" s="6">
        <f t="shared" si="819"/>
        <v>4.3999999999999997E-2</v>
      </c>
      <c r="E4221" s="32">
        <f>ROUND(E$4085*(1-$C1103),2)</f>
        <v>4.2300000000000004</v>
      </c>
      <c r="F4221" s="32">
        <f>ROUND(F$4085*(1-$B1103),2)</f>
        <v>1.1000000000000001</v>
      </c>
      <c r="G4221" s="6">
        <f>ROUND(G$4085*(1-$B1103),3)</f>
        <v>0.183</v>
      </c>
      <c r="H4221" s="10"/>
    </row>
    <row r="4222" spans="1:8">
      <c r="A4222" s="17" t="s">
        <v>172</v>
      </c>
      <c r="H4222" s="10"/>
    </row>
    <row r="4223" spans="1:8">
      <c r="A4223" s="11" t="s">
        <v>99</v>
      </c>
      <c r="B4223" s="6">
        <f t="shared" ref="B4223:D4224" si="820">ROUND(B$4086*(1-$B1105),3)</f>
        <v>11.385999999999999</v>
      </c>
      <c r="C4223" s="6">
        <f t="shared" si="820"/>
        <v>1.105</v>
      </c>
      <c r="D4223" s="6">
        <f t="shared" si="820"/>
        <v>0.09</v>
      </c>
      <c r="E4223" s="32">
        <f>ROUND(E$4086*(1-$C1105),2)</f>
        <v>9.01</v>
      </c>
      <c r="F4223" s="32">
        <f>ROUND(F$4086*(1-$B1105),2)</f>
        <v>3.43</v>
      </c>
      <c r="G4223" s="6">
        <f>ROUND(G$4086*(1-$B1105),3)</f>
        <v>0.441</v>
      </c>
      <c r="H4223" s="10"/>
    </row>
    <row r="4224" spans="1:8">
      <c r="A4224" s="11" t="s">
        <v>173</v>
      </c>
      <c r="B4224" s="6">
        <f t="shared" si="820"/>
        <v>6.2229999999999999</v>
      </c>
      <c r="C4224" s="6">
        <f t="shared" si="820"/>
        <v>0.60399999999999998</v>
      </c>
      <c r="D4224" s="6">
        <f t="shared" si="820"/>
        <v>4.9000000000000002E-2</v>
      </c>
      <c r="E4224" s="32">
        <f>ROUND(E$4086*(1-$C1106),2)</f>
        <v>4.92</v>
      </c>
      <c r="F4224" s="32">
        <f>ROUND(F$4086*(1-$B1106),2)</f>
        <v>1.87</v>
      </c>
      <c r="G4224" s="6">
        <f>ROUND(G$4086*(1-$B1106),3)</f>
        <v>0.24099999999999999</v>
      </c>
      <c r="H4224" s="10"/>
    </row>
    <row r="4225" spans="1:8">
      <c r="A4225" s="17" t="s">
        <v>174</v>
      </c>
      <c r="H4225" s="10"/>
    </row>
    <row r="4226" spans="1:8">
      <c r="A4226" s="11" t="s">
        <v>111</v>
      </c>
      <c r="B4226" s="6">
        <f t="shared" ref="B4226:D4227" si="821">ROUND(B$4087*(1-$B1108),3)</f>
        <v>10.577999999999999</v>
      </c>
      <c r="C4226" s="6">
        <f t="shared" si="821"/>
        <v>1.0209999999999999</v>
      </c>
      <c r="D4226" s="6">
        <f t="shared" si="821"/>
        <v>7.4999999999999997E-2</v>
      </c>
      <c r="E4226" s="32">
        <f>ROUND(E$4087*(1-$C1108),2)</f>
        <v>89.4</v>
      </c>
      <c r="F4226" s="32">
        <f>ROUND(F$4087*(1-$B1108),2)</f>
        <v>3.55</v>
      </c>
      <c r="G4226" s="6">
        <f>ROUND(G$4087*(1-$B1108),3)</f>
        <v>0.34899999999999998</v>
      </c>
      <c r="H4226" s="10"/>
    </row>
    <row r="4227" spans="1:8">
      <c r="A4227" s="11" t="s">
        <v>175</v>
      </c>
      <c r="B4227" s="6">
        <f t="shared" si="821"/>
        <v>6.9340000000000002</v>
      </c>
      <c r="C4227" s="6">
        <f t="shared" si="821"/>
        <v>0.66900000000000004</v>
      </c>
      <c r="D4227" s="6">
        <f t="shared" si="821"/>
        <v>4.9000000000000002E-2</v>
      </c>
      <c r="E4227" s="32">
        <f>ROUND(E$4087*(1-$C1109),2)</f>
        <v>58.61</v>
      </c>
      <c r="F4227" s="32">
        <f>ROUND(F$4087*(1-$B1109),2)</f>
        <v>2.33</v>
      </c>
      <c r="G4227" s="6">
        <f>ROUND(G$4087*(1-$B1109),3)</f>
        <v>0.22900000000000001</v>
      </c>
      <c r="H4227" s="10"/>
    </row>
    <row r="4228" spans="1:8">
      <c r="A4228" s="17" t="s">
        <v>176</v>
      </c>
      <c r="H4228" s="10"/>
    </row>
    <row r="4229" spans="1:8">
      <c r="A4229" s="11" t="s">
        <v>131</v>
      </c>
      <c r="B4229" s="6">
        <f t="shared" ref="B4229:D4231" si="822">ROUND(B$4088*(1-$B1111),3)</f>
        <v>2.617</v>
      </c>
      <c r="C4229" s="6">
        <f t="shared" si="822"/>
        <v>0</v>
      </c>
      <c r="D4229" s="6">
        <f t="shared" si="822"/>
        <v>0</v>
      </c>
      <c r="E4229" s="32">
        <f>ROUND(E$4088*(1-$C1111),2)</f>
        <v>0</v>
      </c>
      <c r="F4229" s="32">
        <f>ROUND(F$4088*(1-$B1111),2)</f>
        <v>0</v>
      </c>
      <c r="G4229" s="6">
        <f>ROUND(G$4088*(1-$B1111),3)</f>
        <v>0</v>
      </c>
      <c r="H4229" s="10"/>
    </row>
    <row r="4230" spans="1:8">
      <c r="A4230" s="11" t="s">
        <v>177</v>
      </c>
      <c r="B4230" s="6">
        <f t="shared" si="822"/>
        <v>1.7809999999999999</v>
      </c>
      <c r="C4230" s="6">
        <f t="shared" si="822"/>
        <v>0</v>
      </c>
      <c r="D4230" s="6">
        <f t="shared" si="822"/>
        <v>0</v>
      </c>
      <c r="E4230" s="32">
        <f>ROUND(E$4088*(1-$C1112),2)</f>
        <v>0</v>
      </c>
      <c r="F4230" s="32">
        <f>ROUND(F$4088*(1-$B1112),2)</f>
        <v>0</v>
      </c>
      <c r="G4230" s="6">
        <f>ROUND(G$4088*(1-$B1112),3)</f>
        <v>0</v>
      </c>
      <c r="H4230" s="10"/>
    </row>
    <row r="4231" spans="1:8">
      <c r="A4231" s="11" t="s">
        <v>178</v>
      </c>
      <c r="B4231" s="6">
        <f t="shared" si="822"/>
        <v>0.94599999999999995</v>
      </c>
      <c r="C4231" s="6">
        <f t="shared" si="822"/>
        <v>0</v>
      </c>
      <c r="D4231" s="6">
        <f t="shared" si="822"/>
        <v>0</v>
      </c>
      <c r="E4231" s="32">
        <f>ROUND(E$4088*(1-$C1113),2)</f>
        <v>0</v>
      </c>
      <c r="F4231" s="32">
        <f>ROUND(F$4088*(1-$B1113),2)</f>
        <v>0</v>
      </c>
      <c r="G4231" s="6">
        <f>ROUND(G$4088*(1-$B1113),3)</f>
        <v>0</v>
      </c>
      <c r="H4231" s="10"/>
    </row>
    <row r="4232" spans="1:8">
      <c r="A4232" s="17" t="s">
        <v>179</v>
      </c>
      <c r="H4232" s="10"/>
    </row>
    <row r="4233" spans="1:8">
      <c r="A4233" s="11" t="s">
        <v>132</v>
      </c>
      <c r="B4233" s="6">
        <f t="shared" ref="B4233:D4235" si="823">ROUND(B$4089*(1-$B1115),3)</f>
        <v>2.964</v>
      </c>
      <c r="C4233" s="6">
        <f t="shared" si="823"/>
        <v>0</v>
      </c>
      <c r="D4233" s="6">
        <f t="shared" si="823"/>
        <v>0</v>
      </c>
      <c r="E4233" s="32">
        <f>ROUND(E$4089*(1-$C1115),2)</f>
        <v>0</v>
      </c>
      <c r="F4233" s="32">
        <f>ROUND(F$4089*(1-$B1115),2)</f>
        <v>0</v>
      </c>
      <c r="G4233" s="6">
        <f>ROUND(G$4089*(1-$B1115),3)</f>
        <v>0</v>
      </c>
      <c r="H4233" s="10"/>
    </row>
    <row r="4234" spans="1:8">
      <c r="A4234" s="11" t="s">
        <v>180</v>
      </c>
      <c r="B4234" s="6">
        <f t="shared" si="823"/>
        <v>2.0169999999999999</v>
      </c>
      <c r="C4234" s="6">
        <f t="shared" si="823"/>
        <v>0</v>
      </c>
      <c r="D4234" s="6">
        <f t="shared" si="823"/>
        <v>0</v>
      </c>
      <c r="E4234" s="32">
        <f>ROUND(E$4089*(1-$C1116),2)</f>
        <v>0</v>
      </c>
      <c r="F4234" s="32">
        <f>ROUND(F$4089*(1-$B1116),2)</f>
        <v>0</v>
      </c>
      <c r="G4234" s="6">
        <f>ROUND(G$4089*(1-$B1116),3)</f>
        <v>0</v>
      </c>
      <c r="H4234" s="10"/>
    </row>
    <row r="4235" spans="1:8">
      <c r="A4235" s="11" t="s">
        <v>181</v>
      </c>
      <c r="B4235" s="6">
        <f t="shared" si="823"/>
        <v>1.0720000000000001</v>
      </c>
      <c r="C4235" s="6">
        <f t="shared" si="823"/>
        <v>0</v>
      </c>
      <c r="D4235" s="6">
        <f t="shared" si="823"/>
        <v>0</v>
      </c>
      <c r="E4235" s="32">
        <f>ROUND(E$4089*(1-$C1117),2)</f>
        <v>0</v>
      </c>
      <c r="F4235" s="32">
        <f>ROUND(F$4089*(1-$B1117),2)</f>
        <v>0</v>
      </c>
      <c r="G4235" s="6">
        <f>ROUND(G$4089*(1-$B1117),3)</f>
        <v>0</v>
      </c>
      <c r="H4235" s="10"/>
    </row>
    <row r="4236" spans="1:8">
      <c r="A4236" s="17" t="s">
        <v>182</v>
      </c>
      <c r="H4236" s="10"/>
    </row>
    <row r="4237" spans="1:8">
      <c r="A4237" s="11" t="s">
        <v>133</v>
      </c>
      <c r="B4237" s="6">
        <f t="shared" ref="B4237:D4239" si="824">ROUND(B$4090*(1-$B1119),3)</f>
        <v>4.42</v>
      </c>
      <c r="C4237" s="6">
        <f t="shared" si="824"/>
        <v>0</v>
      </c>
      <c r="D4237" s="6">
        <f t="shared" si="824"/>
        <v>0</v>
      </c>
      <c r="E4237" s="32">
        <f>ROUND(E$4090*(1-$C1119),2)</f>
        <v>0</v>
      </c>
      <c r="F4237" s="32">
        <f>ROUND(F$4090*(1-$B1119),2)</f>
        <v>0</v>
      </c>
      <c r="G4237" s="6">
        <f>ROUND(G$4090*(1-$B1119),3)</f>
        <v>0</v>
      </c>
      <c r="H4237" s="10"/>
    </row>
    <row r="4238" spans="1:8">
      <c r="A4238" s="11" t="s">
        <v>183</v>
      </c>
      <c r="B4238" s="6">
        <f t="shared" si="824"/>
        <v>3.0070000000000001</v>
      </c>
      <c r="C4238" s="6">
        <f t="shared" si="824"/>
        <v>0</v>
      </c>
      <c r="D4238" s="6">
        <f t="shared" si="824"/>
        <v>0</v>
      </c>
      <c r="E4238" s="32">
        <f>ROUND(E$4090*(1-$C1120),2)</f>
        <v>0</v>
      </c>
      <c r="F4238" s="32">
        <f>ROUND(F$4090*(1-$B1120),2)</f>
        <v>0</v>
      </c>
      <c r="G4238" s="6">
        <f>ROUND(G$4090*(1-$B1120),3)</f>
        <v>0</v>
      </c>
      <c r="H4238" s="10"/>
    </row>
    <row r="4239" spans="1:8">
      <c r="A4239" s="11" t="s">
        <v>184</v>
      </c>
      <c r="B4239" s="6">
        <f t="shared" si="824"/>
        <v>1.5980000000000001</v>
      </c>
      <c r="C4239" s="6">
        <f t="shared" si="824"/>
        <v>0</v>
      </c>
      <c r="D4239" s="6">
        <f t="shared" si="824"/>
        <v>0</v>
      </c>
      <c r="E4239" s="32">
        <f>ROUND(E$4090*(1-$C1121),2)</f>
        <v>0</v>
      </c>
      <c r="F4239" s="32">
        <f>ROUND(F$4090*(1-$B1121),2)</f>
        <v>0</v>
      </c>
      <c r="G4239" s="6">
        <f>ROUND(G$4090*(1-$B1121),3)</f>
        <v>0</v>
      </c>
      <c r="H4239" s="10"/>
    </row>
    <row r="4240" spans="1:8">
      <c r="A4240" s="17" t="s">
        <v>185</v>
      </c>
      <c r="H4240" s="10"/>
    </row>
    <row r="4241" spans="1:8">
      <c r="A4241" s="11" t="s">
        <v>134</v>
      </c>
      <c r="B4241" s="6">
        <f t="shared" ref="B4241:D4243" si="825">ROUND(B$4091*(1-$B1123),3)</f>
        <v>2.3180000000000001</v>
      </c>
      <c r="C4241" s="6">
        <f t="shared" si="825"/>
        <v>0</v>
      </c>
      <c r="D4241" s="6">
        <f t="shared" si="825"/>
        <v>0</v>
      </c>
      <c r="E4241" s="32">
        <f>ROUND(E$4091*(1-$C1123),2)</f>
        <v>0</v>
      </c>
      <c r="F4241" s="32">
        <f>ROUND(F$4091*(1-$B1123),2)</f>
        <v>0</v>
      </c>
      <c r="G4241" s="6">
        <f>ROUND(G$4091*(1-$B1123),3)</f>
        <v>0</v>
      </c>
      <c r="H4241" s="10"/>
    </row>
    <row r="4242" spans="1:8">
      <c r="A4242" s="11" t="s">
        <v>186</v>
      </c>
      <c r="B4242" s="6">
        <f t="shared" si="825"/>
        <v>1.577</v>
      </c>
      <c r="C4242" s="6">
        <f t="shared" si="825"/>
        <v>0</v>
      </c>
      <c r="D4242" s="6">
        <f t="shared" si="825"/>
        <v>0</v>
      </c>
      <c r="E4242" s="32">
        <f>ROUND(E$4091*(1-$C1124),2)</f>
        <v>0</v>
      </c>
      <c r="F4242" s="32">
        <f>ROUND(F$4091*(1-$B1124),2)</f>
        <v>0</v>
      </c>
      <c r="G4242" s="6">
        <f>ROUND(G$4091*(1-$B1124),3)</f>
        <v>0</v>
      </c>
      <c r="H4242" s="10"/>
    </row>
    <row r="4243" spans="1:8">
      <c r="A4243" s="11" t="s">
        <v>187</v>
      </c>
      <c r="B4243" s="6">
        <f t="shared" si="825"/>
        <v>0.83799999999999997</v>
      </c>
      <c r="C4243" s="6">
        <f t="shared" si="825"/>
        <v>0</v>
      </c>
      <c r="D4243" s="6">
        <f t="shared" si="825"/>
        <v>0</v>
      </c>
      <c r="E4243" s="32">
        <f>ROUND(E$4091*(1-$C1125),2)</f>
        <v>0</v>
      </c>
      <c r="F4243" s="32">
        <f>ROUND(F$4091*(1-$B1125),2)</f>
        <v>0</v>
      </c>
      <c r="G4243" s="6">
        <f>ROUND(G$4091*(1-$B1125),3)</f>
        <v>0</v>
      </c>
      <c r="H4243" s="10"/>
    </row>
    <row r="4244" spans="1:8">
      <c r="A4244" s="17" t="s">
        <v>188</v>
      </c>
      <c r="H4244" s="10"/>
    </row>
    <row r="4245" spans="1:8">
      <c r="A4245" s="11" t="s">
        <v>135</v>
      </c>
      <c r="B4245" s="6">
        <f t="shared" ref="B4245:D4247" si="826">ROUND(B$4092*(1-$B1127),3)</f>
        <v>39.576000000000001</v>
      </c>
      <c r="C4245" s="6">
        <f t="shared" si="826"/>
        <v>2.6190000000000002</v>
      </c>
      <c r="D4245" s="6">
        <f t="shared" si="826"/>
        <v>0.97499999999999998</v>
      </c>
      <c r="E4245" s="32">
        <f>ROUND(E$4092*(1-$C1127),2)</f>
        <v>0</v>
      </c>
      <c r="F4245" s="32">
        <f>ROUND(F$4092*(1-$B1127),2)</f>
        <v>0</v>
      </c>
      <c r="G4245" s="6">
        <f>ROUND(G$4092*(1-$B1127),3)</f>
        <v>0</v>
      </c>
      <c r="H4245" s="10"/>
    </row>
    <row r="4246" spans="1:8">
      <c r="A4246" s="11" t="s">
        <v>189</v>
      </c>
      <c r="B4246" s="6">
        <f t="shared" si="826"/>
        <v>26.925999999999998</v>
      </c>
      <c r="C4246" s="6">
        <f t="shared" si="826"/>
        <v>1.782</v>
      </c>
      <c r="D4246" s="6">
        <f t="shared" si="826"/>
        <v>0.66300000000000003</v>
      </c>
      <c r="E4246" s="32">
        <f>ROUND(E$4092*(1-$C1128),2)</f>
        <v>0</v>
      </c>
      <c r="F4246" s="32">
        <f>ROUND(F$4092*(1-$B1128),2)</f>
        <v>0</v>
      </c>
      <c r="G4246" s="6">
        <f>ROUND(G$4092*(1-$B1128),3)</f>
        <v>0</v>
      </c>
      <c r="H4246" s="10"/>
    </row>
    <row r="4247" spans="1:8">
      <c r="A4247" s="11" t="s">
        <v>190</v>
      </c>
      <c r="B4247" s="6">
        <f t="shared" si="826"/>
        <v>14.308</v>
      </c>
      <c r="C4247" s="6">
        <f t="shared" si="826"/>
        <v>0.94699999999999995</v>
      </c>
      <c r="D4247" s="6">
        <f t="shared" si="826"/>
        <v>0.35199999999999998</v>
      </c>
      <c r="E4247" s="32">
        <f>ROUND(E$4092*(1-$C1129),2)</f>
        <v>0</v>
      </c>
      <c r="F4247" s="32">
        <f>ROUND(F$4092*(1-$B1129),2)</f>
        <v>0</v>
      </c>
      <c r="G4247" s="6">
        <f>ROUND(G$4092*(1-$B1129),3)</f>
        <v>0</v>
      </c>
      <c r="H4247" s="10"/>
    </row>
    <row r="4248" spans="1:8">
      <c r="A4248" s="17" t="s">
        <v>1648</v>
      </c>
      <c r="H4248" s="10"/>
    </row>
    <row r="4249" spans="1:8">
      <c r="A4249" s="11" t="s">
        <v>1645</v>
      </c>
      <c r="B4249" s="6">
        <f t="shared" ref="B4249:D4251" si="827">ROUND(B$4093*(1-$B1131),3)</f>
        <v>-0.88400000000000001</v>
      </c>
      <c r="C4249" s="6">
        <f t="shared" si="827"/>
        <v>0</v>
      </c>
      <c r="D4249" s="6">
        <f t="shared" si="827"/>
        <v>0</v>
      </c>
      <c r="E4249" s="32">
        <f>ROUND(E$4093*(1-$C1131),2)</f>
        <v>0</v>
      </c>
      <c r="F4249" s="32">
        <f>ROUND(F$4093*(1-$B1131),2)</f>
        <v>0</v>
      </c>
      <c r="G4249" s="6">
        <f>ROUND(G$4093*(1-$B1131),3)</f>
        <v>0</v>
      </c>
      <c r="H4249" s="10"/>
    </row>
    <row r="4250" spans="1:8">
      <c r="A4250" s="11" t="s">
        <v>1642</v>
      </c>
      <c r="B4250" s="6">
        <f t="shared" si="827"/>
        <v>-0.88400000000000001</v>
      </c>
      <c r="C4250" s="6">
        <f t="shared" si="827"/>
        <v>0</v>
      </c>
      <c r="D4250" s="6">
        <f t="shared" si="827"/>
        <v>0</v>
      </c>
      <c r="E4250" s="32">
        <f>ROUND(E$4093*(1-$C1132),2)</f>
        <v>0</v>
      </c>
      <c r="F4250" s="32">
        <f>ROUND(F$4093*(1-$B1132),2)</f>
        <v>0</v>
      </c>
      <c r="G4250" s="6">
        <f>ROUND(G$4093*(1-$B1132),3)</f>
        <v>0</v>
      </c>
      <c r="H4250" s="10"/>
    </row>
    <row r="4251" spans="1:8">
      <c r="A4251" s="11" t="s">
        <v>1639</v>
      </c>
      <c r="B4251" s="6">
        <f t="shared" si="827"/>
        <v>-0.88400000000000001</v>
      </c>
      <c r="C4251" s="6">
        <f t="shared" si="827"/>
        <v>0</v>
      </c>
      <c r="D4251" s="6">
        <f t="shared" si="827"/>
        <v>0</v>
      </c>
      <c r="E4251" s="32">
        <f>ROUND(E$4093*(1-$C1133),2)</f>
        <v>0</v>
      </c>
      <c r="F4251" s="32">
        <f>ROUND(F$4093*(1-$B1133),2)</f>
        <v>0</v>
      </c>
      <c r="G4251" s="6">
        <f>ROUND(G$4093*(1-$B1133),3)</f>
        <v>0</v>
      </c>
      <c r="H4251" s="10"/>
    </row>
    <row r="4252" spans="1:8">
      <c r="A4252" s="17" t="s">
        <v>191</v>
      </c>
      <c r="H4252" s="10"/>
    </row>
    <row r="4253" spans="1:8">
      <c r="A4253" s="11" t="s">
        <v>100</v>
      </c>
      <c r="B4253" s="6">
        <f t="shared" ref="B4253:D4254" si="828">ROUND(B$4094*(1-$B1135),3)</f>
        <v>-0.81</v>
      </c>
      <c r="C4253" s="6">
        <f t="shared" si="828"/>
        <v>0</v>
      </c>
      <c r="D4253" s="6">
        <f t="shared" si="828"/>
        <v>0</v>
      </c>
      <c r="E4253" s="32">
        <f>ROUND(E$4094*(1-$C1135),2)</f>
        <v>0</v>
      </c>
      <c r="F4253" s="32">
        <f>ROUND(F$4094*(1-$B1135),2)</f>
        <v>0</v>
      </c>
      <c r="G4253" s="6">
        <f>ROUND(G$4094*(1-$B1135),3)</f>
        <v>0</v>
      </c>
      <c r="H4253" s="10"/>
    </row>
    <row r="4254" spans="1:8">
      <c r="A4254" s="11" t="s">
        <v>192</v>
      </c>
      <c r="B4254" s="6">
        <f t="shared" si="828"/>
        <v>-0.81</v>
      </c>
      <c r="C4254" s="6">
        <f t="shared" si="828"/>
        <v>0</v>
      </c>
      <c r="D4254" s="6">
        <f t="shared" si="828"/>
        <v>0</v>
      </c>
      <c r="E4254" s="32">
        <f>ROUND(E$4094*(1-$C1136),2)</f>
        <v>0</v>
      </c>
      <c r="F4254" s="32">
        <f>ROUND(F$4094*(1-$B1136),2)</f>
        <v>0</v>
      </c>
      <c r="G4254" s="6">
        <f>ROUND(G$4094*(1-$B1136),3)</f>
        <v>0</v>
      </c>
      <c r="H4254" s="10"/>
    </row>
    <row r="4255" spans="1:8">
      <c r="A4255" s="17" t="s">
        <v>193</v>
      </c>
      <c r="H4255" s="10"/>
    </row>
    <row r="4256" spans="1:8">
      <c r="A4256" s="11" t="s">
        <v>101</v>
      </c>
      <c r="B4256" s="6">
        <f t="shared" ref="B4256:D4258" si="829">ROUND(B$4095*(1-$B1138),3)</f>
        <v>-0.88400000000000001</v>
      </c>
      <c r="C4256" s="6">
        <f t="shared" si="829"/>
        <v>0</v>
      </c>
      <c r="D4256" s="6">
        <f t="shared" si="829"/>
        <v>0</v>
      </c>
      <c r="E4256" s="32">
        <f>ROUND(E$4095*(1-$C1138),2)</f>
        <v>0</v>
      </c>
      <c r="F4256" s="32">
        <f>ROUND(F$4095*(1-$B1138),2)</f>
        <v>0</v>
      </c>
      <c r="G4256" s="6">
        <f>ROUND(G$4095*(1-$B1138),3)</f>
        <v>0.28899999999999998</v>
      </c>
      <c r="H4256" s="10"/>
    </row>
    <row r="4257" spans="1:8">
      <c r="A4257" s="11" t="s">
        <v>194</v>
      </c>
      <c r="B4257" s="6">
        <f t="shared" si="829"/>
        <v>-0.88400000000000001</v>
      </c>
      <c r="C4257" s="6">
        <f t="shared" si="829"/>
        <v>0</v>
      </c>
      <c r="D4257" s="6">
        <f t="shared" si="829"/>
        <v>0</v>
      </c>
      <c r="E4257" s="32">
        <f>ROUND(E$4095*(1-$C1139),2)</f>
        <v>0</v>
      </c>
      <c r="F4257" s="32">
        <f>ROUND(F$4095*(1-$B1139),2)</f>
        <v>0</v>
      </c>
      <c r="G4257" s="6">
        <f>ROUND(G$4095*(1-$B1139),3)</f>
        <v>0.28899999999999998</v>
      </c>
      <c r="H4257" s="10"/>
    </row>
    <row r="4258" spans="1:8">
      <c r="A4258" s="11" t="s">
        <v>195</v>
      </c>
      <c r="B4258" s="6">
        <f t="shared" si="829"/>
        <v>-0.88400000000000001</v>
      </c>
      <c r="C4258" s="6">
        <f t="shared" si="829"/>
        <v>0</v>
      </c>
      <c r="D4258" s="6">
        <f t="shared" si="829"/>
        <v>0</v>
      </c>
      <c r="E4258" s="32">
        <f>ROUND(E$4095*(1-$C1140),2)</f>
        <v>0</v>
      </c>
      <c r="F4258" s="32">
        <f>ROUND(F$4095*(1-$B1140),2)</f>
        <v>0</v>
      </c>
      <c r="G4258" s="6">
        <f>ROUND(G$4095*(1-$B1140),3)</f>
        <v>0.28899999999999998</v>
      </c>
      <c r="H4258" s="10"/>
    </row>
    <row r="4259" spans="1:8">
      <c r="A4259" s="17" t="s">
        <v>196</v>
      </c>
      <c r="H4259" s="10"/>
    </row>
    <row r="4260" spans="1:8">
      <c r="A4260" s="11" t="s">
        <v>102</v>
      </c>
      <c r="B4260" s="6">
        <f t="shared" ref="B4260:D4262" si="830">ROUND(B$4096*(1-$B1142),3)</f>
        <v>-7.1150000000000002</v>
      </c>
      <c r="C4260" s="6">
        <f t="shared" si="830"/>
        <v>-0.7</v>
      </c>
      <c r="D4260" s="6">
        <f t="shared" si="830"/>
        <v>-0.107</v>
      </c>
      <c r="E4260" s="32">
        <f>ROUND(E$4096*(1-$C1142),2)</f>
        <v>0</v>
      </c>
      <c r="F4260" s="32">
        <f>ROUND(F$4096*(1-$B1142),2)</f>
        <v>0</v>
      </c>
      <c r="G4260" s="6">
        <f>ROUND(G$4096*(1-$B1142),3)</f>
        <v>0.28899999999999998</v>
      </c>
      <c r="H4260" s="10"/>
    </row>
    <row r="4261" spans="1:8">
      <c r="A4261" s="11" t="s">
        <v>197</v>
      </c>
      <c r="B4261" s="6">
        <f t="shared" si="830"/>
        <v>-7.1150000000000002</v>
      </c>
      <c r="C4261" s="6">
        <f t="shared" si="830"/>
        <v>-0.7</v>
      </c>
      <c r="D4261" s="6">
        <f t="shared" si="830"/>
        <v>-0.107</v>
      </c>
      <c r="E4261" s="32">
        <f>ROUND(E$4096*(1-$C1143),2)</f>
        <v>0</v>
      </c>
      <c r="F4261" s="32">
        <f>ROUND(F$4096*(1-$B1143),2)</f>
        <v>0</v>
      </c>
      <c r="G4261" s="6">
        <f>ROUND(G$4096*(1-$B1143),3)</f>
        <v>0.28899999999999998</v>
      </c>
      <c r="H4261" s="10"/>
    </row>
    <row r="4262" spans="1:8">
      <c r="A4262" s="11" t="s">
        <v>198</v>
      </c>
      <c r="B4262" s="6">
        <f t="shared" si="830"/>
        <v>-7.1150000000000002</v>
      </c>
      <c r="C4262" s="6">
        <f t="shared" si="830"/>
        <v>-0.7</v>
      </c>
      <c r="D4262" s="6">
        <f t="shared" si="830"/>
        <v>-0.107</v>
      </c>
      <c r="E4262" s="32">
        <f>ROUND(E$4096*(1-$C1144),2)</f>
        <v>0</v>
      </c>
      <c r="F4262" s="32">
        <f>ROUND(F$4096*(1-$B1144),2)</f>
        <v>0</v>
      </c>
      <c r="G4262" s="6">
        <f>ROUND(G$4096*(1-$B1144),3)</f>
        <v>0.28899999999999998</v>
      </c>
      <c r="H4262" s="10"/>
    </row>
    <row r="4263" spans="1:8">
      <c r="A4263" s="17" t="s">
        <v>199</v>
      </c>
      <c r="H4263" s="10"/>
    </row>
    <row r="4264" spans="1:8">
      <c r="A4264" s="11" t="s">
        <v>103</v>
      </c>
      <c r="B4264" s="6">
        <f t="shared" ref="B4264:D4265" si="831">ROUND(B$4097*(1-$B1146),3)</f>
        <v>-0.81</v>
      </c>
      <c r="C4264" s="6">
        <f t="shared" si="831"/>
        <v>0</v>
      </c>
      <c r="D4264" s="6">
        <f t="shared" si="831"/>
        <v>0</v>
      </c>
      <c r="E4264" s="32">
        <f>ROUND(E$4097*(1-$C1146),2)</f>
        <v>0</v>
      </c>
      <c r="F4264" s="32">
        <f>ROUND(F$4097*(1-$B1146),2)</f>
        <v>0</v>
      </c>
      <c r="G4264" s="6">
        <f>ROUND(G$4097*(1-$B1146),3)</f>
        <v>0.253</v>
      </c>
      <c r="H4264" s="10"/>
    </row>
    <row r="4265" spans="1:8">
      <c r="A4265" s="11" t="s">
        <v>200</v>
      </c>
      <c r="B4265" s="6">
        <f t="shared" si="831"/>
        <v>-0.81</v>
      </c>
      <c r="C4265" s="6">
        <f t="shared" si="831"/>
        <v>0</v>
      </c>
      <c r="D4265" s="6">
        <f t="shared" si="831"/>
        <v>0</v>
      </c>
      <c r="E4265" s="32">
        <f>ROUND(E$4097*(1-$C1147),2)</f>
        <v>0</v>
      </c>
      <c r="F4265" s="32">
        <f>ROUND(F$4097*(1-$B1147),2)</f>
        <v>0</v>
      </c>
      <c r="G4265" s="6">
        <f>ROUND(G$4097*(1-$B1147),3)</f>
        <v>0.253</v>
      </c>
      <c r="H4265" s="10"/>
    </row>
    <row r="4266" spans="1:8">
      <c r="A4266" s="17" t="s">
        <v>201</v>
      </c>
      <c r="H4266" s="10"/>
    </row>
    <row r="4267" spans="1:8">
      <c r="A4267" s="11" t="s">
        <v>104</v>
      </c>
      <c r="B4267" s="6">
        <f t="shared" ref="B4267:D4268" si="832">ROUND(B$4098*(1-$B1149),3)</f>
        <v>-6.5439999999999996</v>
      </c>
      <c r="C4267" s="6">
        <f t="shared" si="832"/>
        <v>-0.63700000000000001</v>
      </c>
      <c r="D4267" s="6">
        <f t="shared" si="832"/>
        <v>-9.8000000000000004E-2</v>
      </c>
      <c r="E4267" s="32">
        <f>ROUND(E$4098*(1-$C1149),2)</f>
        <v>0</v>
      </c>
      <c r="F4267" s="32">
        <f>ROUND(F$4098*(1-$B1149),2)</f>
        <v>0</v>
      </c>
      <c r="G4267" s="6">
        <f>ROUND(G$4098*(1-$B1149),3)</f>
        <v>0.253</v>
      </c>
      <c r="H4267" s="10"/>
    </row>
    <row r="4268" spans="1:8">
      <c r="A4268" s="11" t="s">
        <v>202</v>
      </c>
      <c r="B4268" s="6">
        <f t="shared" si="832"/>
        <v>-6.5439999999999996</v>
      </c>
      <c r="C4268" s="6">
        <f t="shared" si="832"/>
        <v>-0.63700000000000001</v>
      </c>
      <c r="D4268" s="6">
        <f t="shared" si="832"/>
        <v>-9.8000000000000004E-2</v>
      </c>
      <c r="E4268" s="32">
        <f>ROUND(E$4098*(1-$C1150),2)</f>
        <v>0</v>
      </c>
      <c r="F4268" s="32">
        <f>ROUND(F$4098*(1-$B1150),2)</f>
        <v>0</v>
      </c>
      <c r="G4268" s="6">
        <f>ROUND(G$4098*(1-$B1150),3)</f>
        <v>0.253</v>
      </c>
      <c r="H4268" s="10"/>
    </row>
    <row r="4269" spans="1:8">
      <c r="A4269" s="17" t="s">
        <v>203</v>
      </c>
      <c r="H4269" s="10"/>
    </row>
    <row r="4270" spans="1:8">
      <c r="A4270" s="11" t="s">
        <v>112</v>
      </c>
      <c r="B4270" s="6">
        <f t="shared" ref="B4270:D4271" si="833">ROUND(B$4099*(1-$B1152),3)</f>
        <v>-0.56200000000000006</v>
      </c>
      <c r="C4270" s="6">
        <f t="shared" si="833"/>
        <v>0</v>
      </c>
      <c r="D4270" s="6">
        <f t="shared" si="833"/>
        <v>0</v>
      </c>
      <c r="E4270" s="32">
        <f>ROUND(E$4099*(1-$C1152),2)</f>
        <v>43.1</v>
      </c>
      <c r="F4270" s="32">
        <f>ROUND(F$4099*(1-$B1152),2)</f>
        <v>0</v>
      </c>
      <c r="G4270" s="6">
        <f>ROUND(G$4099*(1-$B1152),3)</f>
        <v>0.20699999999999999</v>
      </c>
      <c r="H4270" s="10"/>
    </row>
    <row r="4271" spans="1:8">
      <c r="A4271" s="11" t="s">
        <v>204</v>
      </c>
      <c r="B4271" s="6">
        <f t="shared" si="833"/>
        <v>-0.56200000000000006</v>
      </c>
      <c r="C4271" s="6">
        <f t="shared" si="833"/>
        <v>0</v>
      </c>
      <c r="D4271" s="6">
        <f t="shared" si="833"/>
        <v>0</v>
      </c>
      <c r="E4271" s="32">
        <f>ROUND(E$4099*(1-$C1153),2)</f>
        <v>0</v>
      </c>
      <c r="F4271" s="32">
        <f>ROUND(F$4099*(1-$B1153),2)</f>
        <v>0</v>
      </c>
      <c r="G4271" s="6">
        <f>ROUND(G$4099*(1-$B1153),3)</f>
        <v>0.20699999999999999</v>
      </c>
      <c r="H4271" s="10"/>
    </row>
    <row r="4272" spans="1:8">
      <c r="A4272" s="17" t="s">
        <v>205</v>
      </c>
      <c r="H4272" s="10"/>
    </row>
    <row r="4273" spans="1:8">
      <c r="A4273" s="11" t="s">
        <v>113</v>
      </c>
      <c r="B4273" s="6">
        <f t="shared" ref="B4273:D4274" si="834">ROUND(B$4100*(1-$B1155),3)</f>
        <v>-4.625</v>
      </c>
      <c r="C4273" s="6">
        <f t="shared" si="834"/>
        <v>-0.42499999999999999</v>
      </c>
      <c r="D4273" s="6">
        <f t="shared" si="834"/>
        <v>-7.0000000000000007E-2</v>
      </c>
      <c r="E4273" s="32">
        <f>ROUND(E$4100*(1-$C1155),2)</f>
        <v>43.1</v>
      </c>
      <c r="F4273" s="32">
        <f>ROUND(F$4100*(1-$B1155),2)</f>
        <v>0</v>
      </c>
      <c r="G4273" s="6">
        <f>ROUND(G$4100*(1-$B1155),3)</f>
        <v>0.20699999999999999</v>
      </c>
      <c r="H4273" s="10"/>
    </row>
    <row r="4274" spans="1:8">
      <c r="A4274" s="11" t="s">
        <v>206</v>
      </c>
      <c r="B4274" s="6">
        <f t="shared" si="834"/>
        <v>-4.625</v>
      </c>
      <c r="C4274" s="6">
        <f t="shared" si="834"/>
        <v>-0.42499999999999999</v>
      </c>
      <c r="D4274" s="6">
        <f t="shared" si="834"/>
        <v>-7.0000000000000007E-2</v>
      </c>
      <c r="E4274" s="32">
        <f>ROUND(E$4100*(1-$C1156),2)</f>
        <v>0</v>
      </c>
      <c r="F4274" s="32">
        <f>ROUND(F$4100*(1-$B1156),2)</f>
        <v>0</v>
      </c>
      <c r="G4274" s="6">
        <f>ROUND(G$4100*(1-$B1156),3)</f>
        <v>0.20699999999999999</v>
      </c>
      <c r="H4274" s="10"/>
    </row>
    <row r="4276" spans="1:8" ht="21" customHeight="1">
      <c r="A4276" s="1" t="s">
        <v>1331</v>
      </c>
    </row>
    <row r="4277" spans="1:8">
      <c r="A4277" s="2" t="s">
        <v>1332</v>
      </c>
    </row>
    <row r="4278" spans="1:8">
      <c r="A4278" s="2" t="s">
        <v>1333</v>
      </c>
    </row>
    <row r="4279" spans="1:8">
      <c r="A4279" s="2" t="s">
        <v>1663</v>
      </c>
    </row>
    <row r="4280" spans="1:8">
      <c r="A4280" s="2" t="s">
        <v>1662</v>
      </c>
    </row>
    <row r="4281" spans="1:8">
      <c r="A4281" s="2" t="s">
        <v>1592</v>
      </c>
    </row>
    <row r="4282" spans="1:8">
      <c r="A4282" s="2" t="s">
        <v>1334</v>
      </c>
    </row>
    <row r="4283" spans="1:8">
      <c r="A4283" s="2" t="s">
        <v>1335</v>
      </c>
    </row>
    <row r="4284" spans="1:8">
      <c r="A4284" s="2" t="s">
        <v>1336</v>
      </c>
    </row>
    <row r="4285" spans="1:8">
      <c r="A4285" s="2" t="s">
        <v>1661</v>
      </c>
    </row>
    <row r="4286" spans="1:8">
      <c r="A4286" s="2" t="s">
        <v>1660</v>
      </c>
    </row>
    <row r="4287" spans="1:8">
      <c r="A4287" s="2" t="s">
        <v>1337</v>
      </c>
    </row>
    <row r="4288" spans="1:8">
      <c r="A4288" s="2" t="s">
        <v>1338</v>
      </c>
    </row>
    <row r="4289" spans="1:1">
      <c r="A4289" s="2" t="s">
        <v>1339</v>
      </c>
    </row>
    <row r="4290" spans="1:1">
      <c r="A4290" s="2" t="s">
        <v>1340</v>
      </c>
    </row>
    <row r="4291" spans="1:1">
      <c r="A4291" s="2" t="s">
        <v>1341</v>
      </c>
    </row>
    <row r="4292" spans="1:1">
      <c r="A4292" s="2" t="s">
        <v>1342</v>
      </c>
    </row>
    <row r="4293" spans="1:1">
      <c r="A4293" s="2" t="s">
        <v>1591</v>
      </c>
    </row>
    <row r="4294" spans="1:1">
      <c r="A4294" s="2" t="s">
        <v>1590</v>
      </c>
    </row>
    <row r="4295" spans="1:1">
      <c r="A4295" s="2" t="s">
        <v>1659</v>
      </c>
    </row>
    <row r="4296" spans="1:1">
      <c r="A4296" s="2" t="s">
        <v>1658</v>
      </c>
    </row>
    <row r="4297" spans="1:1">
      <c r="A4297" s="2" t="s">
        <v>1657</v>
      </c>
    </row>
    <row r="4298" spans="1:1">
      <c r="A4298" s="2" t="s">
        <v>1343</v>
      </c>
    </row>
    <row r="4299" spans="1:1">
      <c r="A4299" s="2" t="s">
        <v>1344</v>
      </c>
    </row>
    <row r="4300" spans="1:1">
      <c r="A4300" s="2" t="s">
        <v>1589</v>
      </c>
    </row>
    <row r="4301" spans="1:1">
      <c r="A4301" s="2" t="s">
        <v>1588</v>
      </c>
    </row>
    <row r="4302" spans="1:1">
      <c r="A4302" s="2" t="s">
        <v>1587</v>
      </c>
    </row>
    <row r="4303" spans="1:1">
      <c r="A4303" s="2" t="s">
        <v>1586</v>
      </c>
    </row>
    <row r="4304" spans="1:1">
      <c r="A4304" s="2" t="s">
        <v>1585</v>
      </c>
    </row>
    <row r="4305" spans="1:1">
      <c r="A4305" s="2" t="s">
        <v>1584</v>
      </c>
    </row>
    <row r="4306" spans="1:1">
      <c r="A4306" s="2" t="s">
        <v>1583</v>
      </c>
    </row>
    <row r="4307" spans="1:1">
      <c r="A4307" s="2" t="s">
        <v>1345</v>
      </c>
    </row>
    <row r="4308" spans="1:1">
      <c r="A4308" s="2" t="s">
        <v>1582</v>
      </c>
    </row>
    <row r="4309" spans="1:1">
      <c r="A4309" s="2" t="s">
        <v>1581</v>
      </c>
    </row>
    <row r="4310" spans="1:1">
      <c r="A4310" s="2" t="s">
        <v>1580</v>
      </c>
    </row>
    <row r="4311" spans="1:1">
      <c r="A4311" s="2" t="s">
        <v>1346</v>
      </c>
    </row>
    <row r="4312" spans="1:1">
      <c r="A4312" s="2" t="s">
        <v>1579</v>
      </c>
    </row>
    <row r="4313" spans="1:1">
      <c r="A4313" s="2" t="s">
        <v>1347</v>
      </c>
    </row>
    <row r="4314" spans="1:1">
      <c r="A4314" s="2" t="s">
        <v>1578</v>
      </c>
    </row>
    <row r="4315" spans="1:1">
      <c r="A4315" s="2" t="s">
        <v>1348</v>
      </c>
    </row>
    <row r="4316" spans="1:1">
      <c r="A4316" s="2" t="s">
        <v>1577</v>
      </c>
    </row>
    <row r="4317" spans="1:1">
      <c r="A4317" s="2" t="s">
        <v>1576</v>
      </c>
    </row>
    <row r="4318" spans="1:1">
      <c r="A4318" s="2" t="s">
        <v>1575</v>
      </c>
    </row>
    <row r="4319" spans="1:1">
      <c r="A4319" s="2" t="s">
        <v>1574</v>
      </c>
    </row>
    <row r="4320" spans="1:1">
      <c r="A4320" s="2" t="s">
        <v>1573</v>
      </c>
    </row>
    <row r="4321" spans="1:1">
      <c r="A4321" s="2" t="s">
        <v>1656</v>
      </c>
    </row>
    <row r="4322" spans="1:1">
      <c r="A4322" s="2" t="s">
        <v>1572</v>
      </c>
    </row>
    <row r="4323" spans="1:1">
      <c r="A4323" s="2" t="s">
        <v>1571</v>
      </c>
    </row>
    <row r="4324" spans="1:1">
      <c r="A4324" s="2" t="s">
        <v>1655</v>
      </c>
    </row>
    <row r="4325" spans="1:1">
      <c r="A4325" s="2" t="s">
        <v>1349</v>
      </c>
    </row>
    <row r="4326" spans="1:1">
      <c r="A4326" s="2" t="s">
        <v>1570</v>
      </c>
    </row>
    <row r="4327" spans="1:1">
      <c r="A4327" s="2" t="s">
        <v>1350</v>
      </c>
    </row>
    <row r="4328" spans="1:1">
      <c r="A4328" s="2" t="s">
        <v>1351</v>
      </c>
    </row>
    <row r="4329" spans="1:1">
      <c r="A4329" s="2" t="s">
        <v>1569</v>
      </c>
    </row>
    <row r="4330" spans="1:1">
      <c r="A4330" s="2" t="s">
        <v>1654</v>
      </c>
    </row>
    <row r="4331" spans="1:1">
      <c r="A4331" s="2" t="s">
        <v>1568</v>
      </c>
    </row>
    <row r="4332" spans="1:1">
      <c r="A4332" s="2" t="s">
        <v>1653</v>
      </c>
    </row>
    <row r="4333" spans="1:1">
      <c r="A4333" s="2" t="s">
        <v>1352</v>
      </c>
    </row>
    <row r="4334" spans="1:1">
      <c r="A4334" s="2" t="s">
        <v>1353</v>
      </c>
    </row>
    <row r="4335" spans="1:1">
      <c r="A4335" s="2" t="s">
        <v>1354</v>
      </c>
    </row>
    <row r="4336" spans="1:1">
      <c r="A4336" s="2" t="s">
        <v>1567</v>
      </c>
    </row>
    <row r="4337" spans="1:1">
      <c r="A4337" s="2" t="s">
        <v>1355</v>
      </c>
    </row>
    <row r="4338" spans="1:1">
      <c r="A4338" s="2" t="s">
        <v>1652</v>
      </c>
    </row>
    <row r="4339" spans="1:1">
      <c r="A4339" s="2" t="s">
        <v>1566</v>
      </c>
    </row>
    <row r="4340" spans="1:1">
      <c r="A4340" s="2" t="s">
        <v>1565</v>
      </c>
    </row>
    <row r="4341" spans="1:1">
      <c r="A4341" s="2" t="s">
        <v>1564</v>
      </c>
    </row>
    <row r="4342" spans="1:1">
      <c r="A4342" s="2" t="s">
        <v>1563</v>
      </c>
    </row>
    <row r="4343" spans="1:1">
      <c r="A4343" s="2"/>
    </row>
    <row r="4344" spans="1:1">
      <c r="A4344" s="2" t="s">
        <v>1651</v>
      </c>
    </row>
  </sheetData>
  <dataValidations count="17">
    <dataValidation type="decimal" allowBlank="1" showInputMessage="1" showErrorMessage="1" sqref="B332:J332 B311:E319 B287:D290 B278:D282 B265:D273 D249">
      <formula1>0</formula1>
      <formula2>1</formula2>
    </dataValidation>
    <dataValidation type="decimal" operator="greaterThanOrEqual" allowBlank="1" showInputMessage="1" showErrorMessage="1" sqref="B325 B304:D304 B297:D297 E249 B249:C249 B244 B90:I90 B63:F63 B58:I58 B46:B53">
      <formula1>0</formula1>
    </dataValidation>
    <dataValidation type="decimal" allowBlank="1" showInputMessage="1" showErrorMessage="1" errorTitle="Invalid customer contribution" error="The customer contribution must be a non-negative percentage value." sqref="B257:I260">
      <formula1>0</formula1>
      <formula2>4</formula2>
    </dataValidation>
    <dataValidation type="decimal" operator="greaterThanOrEqual" allowBlank="1" showInputMessage="1" showErrorMessage="1" errorTitle="Volume data error" error="The volume must be a non-negative number." sqref="B237:G238 B234:G235 B231:G232 B228:G229 B224:G226 B220:G222 B217:G218 B213:G215 B209:G211 B205:G207 B201:G203 B197:G199 B193:G195 B190:G191 B187:G188 B183:G185 B179:G181 B175:G177 B173:G173 B171:G171 B167:G169 B163:G165 B159:G161 B155:G157 B151:G153 B147:G149 B143:G145">
      <formula1>0</formula1>
    </dataValidation>
    <dataValidation type="textLength" operator="equal" allowBlank="1" showInputMessage="1" showErrorMessage="1" error="This cell should remain blank." sqref="B236:G236 B233:G233 B230:G230 B227:G227 B223:G223 B219:G219 B216:G216 B212:G212 B208:G208 B204:G204 B200:G200 B196:G196 B192:G192 B189:G189 B186:G186 B182:G182 B178:G178 B174:G174 B172:G172 B170:G170 B166:G166 B162:G162 B158:G158 B154:G154 B150:G150 B146:G146 B142:G142">
      <formula1>0</formula1>
    </dataValidation>
    <dataValidation type="decimal" allowBlank="1" showInputMessage="1" showErrorMessage="1" error="The load factor must be between 0% and 100%." sqref="C116:C134">
      <formula1>0</formula1>
      <formula2>1</formula2>
    </dataValidation>
    <dataValidation type="decimal" allowBlank="1" showInputMessage="1" showErrorMessage="1" error="The coincidence factor must be between 0% and 100%." sqref="B116:B134">
      <formula1>0</formula1>
      <formula2>1</formula2>
    </dataValidation>
    <dataValidation type="decimal" allowBlank="1" showInputMessage="1" showErrorMessage="1" error="The LDNO discount must be between 0% and 100%." sqref="B110:F110">
      <formula1>0</formula1>
      <formula2>1</formula2>
    </dataValidation>
    <dataValidation type="decimal" operator="greaterThan" allowBlank="1" showInputMessage="1" showErrorMessage="1" sqref="B104:H104">
      <formula1>0</formula1>
    </dataValidation>
    <dataValidation type="decimal" allowBlank="1" showInputMessage="1" showErrorMessage="1" error="The number in this cell must be between 0% and 100%." sqref="B95:F98 B68:I83">
      <formula1>0</formula1>
      <formula2>1</formula2>
    </dataValidation>
    <dataValidation type="decimal" allowBlank="1" showInputMessage="1" showErrorMessage="1" sqref="B41">
      <formula1>0.001</formula1>
      <formula2>999999.999</formula2>
    </dataValidation>
    <dataValidation type="decimal" allowBlank="1" showInputMessage="1" showErrorMessage="1" error="The proportion of load going through 132kV/HV must be between 0% and 100%." sqref="B36">
      <formula1>0</formula1>
      <formula2>1</formula2>
    </dataValidation>
    <dataValidation type="decimal" allowBlank="1" showInputMessage="1" showErrorMessage="1" error="Must be a non-negative percentage value." sqref="B24:B31">
      <formula1>0</formula1>
      <formula2>4</formula2>
    </dataValidation>
    <dataValidation type="decimal" allowBlank="1" showInputMessage="1" showErrorMessage="1" sqref="F14">
      <formula1>1</formula1>
      <formula2>999</formula2>
    </dataValidation>
    <dataValidation type="decimal" allowBlank="1" showInputMessage="1" showErrorMessage="1" sqref="E14">
      <formula1>0.001</formula1>
      <formula2>1</formula2>
    </dataValidation>
    <dataValidation type="decimal" allowBlank="1" showInputMessage="1" showErrorMessage="1" sqref="C14">
      <formula1>0</formula1>
      <formula2>999999</formula2>
    </dataValidation>
    <dataValidation type="decimal" allowBlank="1" showInputMessage="1" showErrorMessage="1" error="The rate of return must be a non-negative percentage value." sqref="B14">
      <formula1>0</formula1>
      <formula2>4</formula2>
    </dataValidation>
  </dataValidations>
  <hyperlinks>
    <hyperlink ref="A340" location="'CDCM'!B346" display="x1 = Network level for each tariff (to get loss factors applicable to capacity) (in Loss adjustment factors to transmission)"/>
    <hyperlink ref="A341" location="'CDCM'!B103" display="x2 = 1032. Loss adjustment factors to transmission"/>
    <hyperlink ref="A389" location="'CDCM'!B377" display="x1 = 2002. Mapping of DRM network levels to core network levels"/>
    <hyperlink ref="A390" location="'CDCM'!B103" display="x2 = 1032. Loss adjustment factors to transmission"/>
    <hyperlink ref="A405" location="'CDCM'!B393" display="x1 = 2003. Loss adjustment factor to transmission for each DRM network level"/>
    <hyperlink ref="A448" location="'CDCM'!B35" display="x1 = 1018. Proportion of relevant load going through 132kV/HV direct transformation"/>
    <hyperlink ref="A456" location="'CDCM'!B35" display="x1 = 1018. Proportion of relevant load going through 132kV/HV direct transformation"/>
    <hyperlink ref="A464" location="'CDCM'!B35" display="x1 = 1018. Proportion of relevant load going through 132kV/HV direct transformation"/>
    <hyperlink ref="A472" location="'CDCM'!B35" display="x1 = 1018. Proportion of relevant load going through 132kV/HV direct transformation"/>
    <hyperlink ref="A473" location="'CDCM'!B451" display="x2 = 2006. Proportion going through 132kV/EHV"/>
    <hyperlink ref="A474" location="'CDCM'!B459" display="x3 = 2007. Proportion going through EHV"/>
    <hyperlink ref="A475" location="'CDCM'!B467" display="x4 = 2008. Proportion going through EHV/HV"/>
    <hyperlink ref="A493" location="'CDCM'!B417" display="x1 = 2005. Network use factors"/>
    <hyperlink ref="A494" location="'CDCM'!B480" display="x2 = 2009. Rerouteing matrix for all network levels"/>
    <hyperlink ref="A530" location="'CDCM'!B497" display="x3 = 2010. Network use factors: interim step in calculations before adjustments"/>
    <hyperlink ref="A564" location="'CDCM'!B409" display="x1 = 2004. Loss adjustment factor to transmission for each network level"/>
    <hyperlink ref="A565" location="'CDCM'!B533" display="x2 = 2011. Network use factors for all tariffs"/>
    <hyperlink ref="A566" location="'CDCM'!I346" display="x3 = 2001. Loss adjustment factor to transmission (in Loss adjustment factors to transmission)"/>
    <hyperlink ref="A603" location="'CDCM'!B13" display="x1 = 1010. Rate of return (in Financial and general assumptions)"/>
    <hyperlink ref="A604" location="'CDCM'!C13" display="x2 = 1010. Annualisation period (years) (in Financial and general assumptions)"/>
    <hyperlink ref="A605" location="'CDCM'!F13" display="x3 = 1010. Days in the charging year (in Financial and general assumptions)"/>
    <hyperlink ref="A613" location="'CDCM'!B103" display="x1 = 1032. Loss adjustment factors to transmission"/>
    <hyperlink ref="A622" location="'CDCM'!B617" display="x1 = 2102. Loss adjustment factor to transmission for each core level"/>
    <hyperlink ref="A623" location="'CDCM'!B627" display="x2 = Loss adjustment factor to transmission for network level exit (in Loss adjustment factors)"/>
    <hyperlink ref="A639" location="'CDCM'!B23" display="x1 = 1017. Diversity allowance between top and bottom of network level"/>
    <hyperlink ref="A640" location="'CDCM'!C644" display="x2 = Coincidence to system peak at level exit (in Diversity calculations)"/>
    <hyperlink ref="A656" location="'CDCM'!B40" display="x1 = 1019. Network model GSP peak demand (MW)"/>
    <hyperlink ref="A657" location="'CDCM'!B644" display="x2 = 2104. Coincidence to GSP peak at level exit (in Diversity calculations)"/>
    <hyperlink ref="A671" location="'CDCM'!B660" display="x1 = 2105. Network model total maximum demand at substation (MW)"/>
    <hyperlink ref="A672" location="'CDCM'!C644" display="x2 = 2104. Coincidence to system peak at level exit (in Diversity calculations)"/>
    <hyperlink ref="A673" location="'CDCM'!B627" display="x3 = 2103. Loss adjustment factor to transmission for network level exit (in Loss adjustment factors)"/>
    <hyperlink ref="A687" location="'CDCM'!B35" display="x1 = 1018. Proportion of relevant load going through 132kV/HV direct transformation"/>
    <hyperlink ref="A688" location="'CDCM'!B451" display="x2 = 2006. Proportion going through 132kV/EHV"/>
    <hyperlink ref="A689" location="'CDCM'!B459" display="x3 = 2007. Proportion going through EHV"/>
    <hyperlink ref="A690" location="'CDCM'!B467" display="x4 = 2008. Proportion going through EHV/HV"/>
    <hyperlink ref="A705" location="'CDCM'!B676" display="x1 = 2106. Network model contribution to system maximum load measured at network level exit (MW)"/>
    <hyperlink ref="A706" location="'CDCM'!B694" display="x2 = 2107. Rerouteing matrix for DRM network levels"/>
    <hyperlink ref="A721" location="'CDCM'!B709" display="x1 = 2108. GSP simultaneous maximum load assumed through each network level (MW)"/>
    <hyperlink ref="A722" location="'CDCM'!B45" display="x2 = 1020. Gross asset cost by network level (£)"/>
    <hyperlink ref="A723" location="'CDCM'!B608" display="x3 = 2101. Annuity rate"/>
    <hyperlink ref="A741" location="'CDCM'!B67" display="x1 = 1025. Matrix of applicability of LV service models to tariffs with fixed charges"/>
    <hyperlink ref="A742" location="'CDCM'!B57" display="x2 = 1022. LV service model asset cost (£)"/>
    <hyperlink ref="A765" location="'CDCM'!B89" display="x1 = 1026. Matrix of applicability of LV service models to unmetered tariffs"/>
    <hyperlink ref="A766" location="'CDCM'!B57" display="x2 = 1022. LV service model asset cost (£)"/>
    <hyperlink ref="A774" location="'CDCM'!D13" display="x1 = 1010. Annuity proportion for customer-contributed assets (in Financial and general assumptions)"/>
    <hyperlink ref="A775" location="'CDCM'!B769" display="x2 = 2202. Asset £/(MWh/year) from LV service models"/>
    <hyperlink ref="A776" location="'CDCM'!B608" display="x3 = 2101. Annuity rate"/>
    <hyperlink ref="A784" location="'CDCM'!B94" display="x1 = 1028. Matrix of applicability of HV service models to tariffs with fixed charges"/>
    <hyperlink ref="A785" location="'CDCM'!B62" display="x2 = 1023. HV service model asset cost (£)"/>
    <hyperlink ref="A796" location="'CDCM'!B745" display="x1 = 2201. Asset £/customer from LV service models"/>
    <hyperlink ref="A797" location="'CDCM'!B788" display="x2 = 2204. Asset £/customer from HV service models"/>
    <hyperlink ref="A831" location="'CDCM'!F13" display="x1 = 1010. Days in the charging year (in Financial and general assumptions)"/>
    <hyperlink ref="A832" location="'CDCM'!B800" display="x2 = 2205. Service model assets by tariff (£)"/>
    <hyperlink ref="A833" location="'CDCM'!B608" display="x3 = 2101. Annuity rate"/>
    <hyperlink ref="A834" location="'CDCM'!D13" display="x4 = 1010. Annuity proportion for customer-contributed assets (in Financial and general assumptions)"/>
    <hyperlink ref="A835" location="'CDCM'!B840" display="x5 = Service model p/MPAN/day charge (in Replacement annuities for service models)"/>
    <hyperlink ref="A882" location="'CDCM'!B115" display="x1 = 1041. Coincidence factor to system maximum load for each type of demand user (in Load profile data for demand users)"/>
    <hyperlink ref="A883" location="'CDCM'!C115" display="x2 = 1041. Load factor for each type of demand user (in Load profile data for demand users)"/>
    <hyperlink ref="A909" location="'CDCM'!B886" display="x1 = 2301. Demand coefficient (load at time of system maximum load divided by average load)"/>
    <hyperlink ref="A1045" location="'CDCM'!B944" display="x1 = 2303. Discount map"/>
    <hyperlink ref="A1046" location="'CDCM'!B109" display="x2 = 1037. Embedded network (LDNO) discounts"/>
    <hyperlink ref="A1048" location="'CDCM'!B1059" display="x4 = Discount for each tariff (except for fixed charges) (in LDNO discounts and volumes adjusted for discount)"/>
    <hyperlink ref="A1049" location="'CDCM'!B141" display="x5 = 1053. Rate 1 units (MWh) by tariff (in Volume forecasts for the charging year)"/>
    <hyperlink ref="A1050" location="'CDCM'!C141" display="x6 = 1053. Rate 2 units (MWh) by tariff (in Volume forecasts for the charging year)"/>
    <hyperlink ref="A1051" location="'CDCM'!D141" display="x7 = 1053. Rate 3 units (MWh) by tariff (in Volume forecasts for the charging year)"/>
    <hyperlink ref="A1052" location="'CDCM'!E141" display="x8 = 1053. MPANs by tariff (in Volume forecasts for the charging year)"/>
    <hyperlink ref="A1053" location="'CDCM'!C1059" display="x9 = Discount for each tariff for fixed charges only (in LDNO discounts and volumes adjusted for discount)"/>
    <hyperlink ref="A1054" location="'CDCM'!F141" display="x10 = 1053. Import capacity (kVA) by tariff (in Volume forecasts for the charging year)"/>
    <hyperlink ref="A1055" location="'CDCM'!G141" display="x11 = 1053. Reactive power units (MVArh) by tariff (in Volume forecasts for the charging year)"/>
    <hyperlink ref="A1160" location="'CDCM'!D1059" display="x1 = 2304. Rate 1 units (MWh) (in LDNO discounts and volumes adjusted for discount)"/>
    <hyperlink ref="A1161" location="'CDCM'!E1059" display="x2 = 2304. Rate 2 units (MWh) (in LDNO discounts and volumes adjusted for discount)"/>
    <hyperlink ref="A1162" location="'CDCM'!F1059" display="x3 = 2304. Rate 3 units (MWh) (in LDNO discounts and volumes adjusted for discount)"/>
    <hyperlink ref="A1163" location="'CDCM'!G1059" display="x4 = 2304. MPANs (in LDNO discounts and volumes adjusted for discount)"/>
    <hyperlink ref="A1164" location="'CDCM'!H1059" display="x5 = 2304. Import capacity (kVA) (in LDNO discounts and volumes adjusted for discount)"/>
    <hyperlink ref="A1165" location="'CDCM'!I1059" display="x6 = 2304. Reactive power units (MVArh) (in LDNO discounts and volumes adjusted for discount)"/>
    <hyperlink ref="A1202" location="'CDCM'!B303" display="x1 = 1068. Typical annual hours by distribution time band"/>
    <hyperlink ref="A1203" location="'CDCM'!F13" display="x2 = 1010. Days in the charging year (in Financial and general assumptions)"/>
    <hyperlink ref="A1204" location="'CDCM'!B1209" display="x3 = Total hours in the year according to time band hours input data (in Adjust annual hours by distribution time band to match days in year)"/>
    <hyperlink ref="A1214" location="'CDCM'!B264" display="x1 = 1061. Average split of rate 1 units by distribution time band"/>
    <hyperlink ref="A1215" location="'CDCM'!B1222" display="x2 = Total split (in Normalisation of split of rate 1 units by time band)"/>
    <hyperlink ref="A1216" location="'CDCM'!C1209" display="x3 = 2401. Annual hours by distribution time band (reconciled to days in year) (in Adjust annual hours by distribution time band to match days in year)"/>
    <hyperlink ref="A1217" location="'CDCM'!F13" display="x4 = 1010. Days in the charging year (in Financial and general assumptions)"/>
    <hyperlink ref="A1235" location="'CDCM'!C1222" display="x1 = 2402. Normalised split of rate 1 units by distribution time band (in Normalisation of split of rate 1 units by time band)"/>
    <hyperlink ref="A1260" location="'CDCM'!B277" display="x1 = 1062. Average split of rate 2 units by distribution time band"/>
    <hyperlink ref="A1261" location="'CDCM'!B1268" display="x2 = Total split (in Normalisation of split of rate 2 units by time band)"/>
    <hyperlink ref="A1262" location="'CDCM'!C1209" display="x3 = 2401. Annual hours by distribution time band (reconciled to days in year) (in Adjust annual hours by distribution time band to match days in year)"/>
    <hyperlink ref="A1263" location="'CDCM'!F13" display="x4 = 1010. Days in the charging year (in Financial and general assumptions)"/>
    <hyperlink ref="A1277" location="'CDCM'!C1268" display="x1 = 2404. Normalised split of rate 2 units by distribution time band (in Normalisation of split of rate 2 units by time band)"/>
    <hyperlink ref="A1310" location="'CDCM'!B1169" display="x1 = 2305. Rate 1 units (MWh) (in Equivalent volume for each end user)"/>
    <hyperlink ref="A1311" location="'CDCM'!C1169" display="x2 = 2305. Rate 2 units (MWh) (in Equivalent volume for each end user)"/>
    <hyperlink ref="A1312" location="'CDCM'!D1169" display="x3 = 2305. Rate 3 units (MWh) (in Equivalent volume for each end user)"/>
    <hyperlink ref="A1346" location="'CDCM'!B1315" display="x1 = 2407. All units (MWh)"/>
    <hyperlink ref="A1347" location="'CDCM'!B1169" display="x2 = 2305. Rate 1 units (MWh) (in Equivalent volume for each end user)"/>
    <hyperlink ref="A1348" location="'CDCM'!B1239" display="x3 = 2403. Split of rate 1 units between distribution time bands"/>
    <hyperlink ref="A1349" location="'CDCM'!C1209" display="x4 = 2401. Annual hours by distribution time band (reconciled to days in year) (in Adjust annual hours by distribution time band to match days in year)"/>
    <hyperlink ref="A1350" location="'CDCM'!B1356" display="x5 = Use of distribution time bands by units in demand forecast for one-rate tariffs (in Calculation of implied load coefficients for one-rate users)"/>
    <hyperlink ref="A1351" location="'CDCM'!F13" display="x6 = 1010. Days in the charging year (in Financial and general assumptions)"/>
    <hyperlink ref="A1362" location="'CDCM'!B1315" display="x1 = 2407. All units (MWh)"/>
    <hyperlink ref="A1363" location="'CDCM'!B1169" display="x2 = 2305. Rate 1 units (MWh) (in Equivalent volume for each end user)"/>
    <hyperlink ref="A1364" location="'CDCM'!B1239" display="x3 = 2403. Split of rate 1 units between distribution time bands"/>
    <hyperlink ref="A1365" location="'CDCM'!C1169" display="x4 = 2305. Rate 2 units (MWh) (in Equivalent volume for each end user)"/>
    <hyperlink ref="A1366" location="'CDCM'!B1281" display="x5 = 2405. Split of rate 2 units between distribution time bands"/>
    <hyperlink ref="A1367" location="'CDCM'!C1209" display="x6 = 2401. Annual hours by distribution time band (reconciled to days in year) (in Adjust annual hours by distribution time band to match days in year)"/>
    <hyperlink ref="A1368" location="'CDCM'!B1374" display="x7 = Use of distribution time bands by units in demand forecast for two-rate tariffs (in Calculation of implied load coefficients for two-rate users)"/>
    <hyperlink ref="A1369" location="'CDCM'!F13" display="x8 = 1010. Days in the charging year (in Financial and general assumptions)"/>
    <hyperlink ref="A1383" location="'CDCM'!B1315" display="x1 = 2407. All units (MWh)"/>
    <hyperlink ref="A1384" location="'CDCM'!B1169" display="x2 = 2305. Rate 1 units (MWh) (in Equivalent volume for each end user)"/>
    <hyperlink ref="A1385" location="'CDCM'!B1239" display="x3 = 2403. Split of rate 1 units between distribution time bands"/>
    <hyperlink ref="A1386" location="'CDCM'!C1169" display="x4 = 2305. Rate 2 units (MWh) (in Equivalent volume for each end user)"/>
    <hyperlink ref="A1387" location="'CDCM'!B1281" display="x5 = 2405. Split of rate 2 units between distribution time bands"/>
    <hyperlink ref="A1388" location="'CDCM'!D1169" display="x6 = 2305. Rate 3 units (MWh) (in Equivalent volume for each end user)"/>
    <hyperlink ref="A1389" location="'CDCM'!B1298" display="x7 = 2406. Split of rate 3 units between distribution time bands (default)"/>
    <hyperlink ref="A1390" location="'CDCM'!C1209" display="x8 = 2401. Annual hours by distribution time band (reconciled to days in year) (in Adjust annual hours by distribution time band to match days in year)"/>
    <hyperlink ref="A1391" location="'CDCM'!B1397" display="x9 = Use of distribution time bands by units in demand forecast for three-rate tariffs (in Calculation of implied load coefficients for three-rate users)"/>
    <hyperlink ref="A1392" location="'CDCM'!F13" display="x10 = 1010. Days in the charging year (in Financial and general assumptions)"/>
    <hyperlink ref="A1406" location="'CDCM'!E1356" display="x1 = 2408. Peak band load coefficient for one-rate tariffs (in Calculation of implied load coefficients for one-rate users)"/>
    <hyperlink ref="A1407" location="'CDCM'!E1374" display="x2 = 2409. Peak band load coefficient for two-rate tariffs (in Calculation of implied load coefficients for two-rate users)"/>
    <hyperlink ref="A1408" location="'CDCM'!E1397" display="x3 = 2410. Peak band load coefficient for three-rate tariffs (in Calculation of implied load coefficients for three-rate users)"/>
    <hyperlink ref="A1409" location="'CDCM'!B1414" display="x4 = Peak band load coefficient (in Calculation of adjusted time band load coefficients)"/>
    <hyperlink ref="A1410" location="'CDCM'!B913" display="x5 = 2302. Load coefficient"/>
    <hyperlink ref="A1435" location="'CDCM'!B310" display="x1 = 1069. Red, amber and green peaking probabilities (in Peaking probabilities by network level)"/>
    <hyperlink ref="A1436" location="'CDCM'!B1443" display="x2 = Total probability (should be 100%) (in Normalisation of peaking probabilities)"/>
    <hyperlink ref="A1437" location="'CDCM'!B303" display="x3 = 1068. Typical annual hours by distribution time band"/>
    <hyperlink ref="A1438" location="'CDCM'!B1209" display="x4 = 2401. Total hours in the year according to time band hours input data (in Adjust annual hours by distribution time band to match days in year)"/>
    <hyperlink ref="A1456" location="'CDCM'!C1443" display="x1 = 2412. Normalised peaking probabilities (in Normalisation of peaking probabilities)"/>
    <hyperlink ref="A1464" location="'CDCM'!C1209" display="x1 = 2401. Annual hours by distribution time band (reconciled to days in year) (in Adjust annual hours by distribution time band to match days in year)"/>
    <hyperlink ref="A1465" location="'CDCM'!C1414" display="x2 = 2411. Load coefficient correction factor (kW at peak in band / band average kW) (in Calculation of adjusted time band load coefficients)"/>
    <hyperlink ref="A1466" location="'CDCM'!B1459" display="x3 = 2413. Peaking probabilities by network level (reshaped)"/>
    <hyperlink ref="A1467" location="'CDCM'!F13" display="x4 = 1010. Days in the charging year (in Financial and general assumptions)"/>
    <hyperlink ref="A1491" location="'CDCM'!B1470" display="x1 = 2414. Pseudo load coefficient by time band and network level"/>
    <hyperlink ref="A1500" location="'CDCM'!B1315" display="x1 = 2407. All units (MWh)"/>
    <hyperlink ref="A1509" location="'CDCM'!B1239" display="x1 = 2403. Split of rate 1 units between distribution time bands"/>
    <hyperlink ref="A1518" location="'CDCM'!B1315" display="x1 = 2407. All units (MWh)"/>
    <hyperlink ref="A1527" location="'CDCM'!B1239" display="x1 = 2403. Split of rate 1 units between distribution time bands"/>
    <hyperlink ref="A1536" location="'CDCM'!B1315" display="x1 = 2407. All units (MWh)"/>
    <hyperlink ref="A1545" location="'CDCM'!B1374" display="x1 = 2409. Use of distribution time bands by units in demand forecast for two-rate tariffs (in Calculation of implied load coefficients for two-rate users)"/>
    <hyperlink ref="A1554" location="'CDCM'!B1539" display="x1 = 2420. Single rate non half hourly units (MWh)"/>
    <hyperlink ref="A1555" location="'CDCM'!B1530" display="x2 = 2419. Single rate non half hourly timeband use"/>
    <hyperlink ref="A1556" location="'CDCM'!B1521" display="x3 = 2418. Multi rate non half hourly units (MWh)"/>
    <hyperlink ref="A1557" location="'CDCM'!B1548" display="x4 = 2421. Multi rate non half hourly timeband use"/>
    <hyperlink ref="A1558" location="'CDCM'!B1503" display="x5 = 2416. Off-peak non half hourly units (MWh)"/>
    <hyperlink ref="A1559" location="'CDCM'!B1512" display="x6 = 2417. Off-peak non half hourly timeband use"/>
    <hyperlink ref="A1568" location="'CDCM'!B1494" display="x1 = 2415. Aggregated half hourly pseudo timeband load coefficients"/>
    <hyperlink ref="A1569" location="'CDCM'!B1562" display="x2 = 2422. Average non half hourly timeband use"/>
    <hyperlink ref="A1578" location="'CDCM'!B1470" display="x1 = 2414. Pseudo load coefficient by time band and network level"/>
    <hyperlink ref="A1587" location="'CDCM'!B1581" display="x1 = 2424. Off-peak non half hourly pseudo timeband load coefficients"/>
    <hyperlink ref="A1588" location="'CDCM'!B1512" display="x2 = 2417. Off-peak non half hourly timeband use"/>
    <hyperlink ref="A1597" location="'CDCM'!B913" display="x1 = 2302. Load coefficient"/>
    <hyperlink ref="A1606" location="'CDCM'!B1470" display="x1 = 2414. Pseudo load coefficient by time band and network level"/>
    <hyperlink ref="A1615" location="'CDCM'!B1609" display="x1 = 2427. Multi rate non half hourly pseudo timeband load coefficients"/>
    <hyperlink ref="A1616" location="'CDCM'!B1548" display="x2 = 2421. Multi rate non half hourly timeband use"/>
    <hyperlink ref="A1625" location="'CDCM'!B1539" display="x1 = 2420. Single rate non half hourly units (MWh)"/>
    <hyperlink ref="A1626" location="'CDCM'!B1600" display="x2 = 2426. Single rate non half hourly tariff load coefficient"/>
    <hyperlink ref="A1627" location="'CDCM'!B1521" display="x3 = 2418. Multi rate non half hourly units (MWh)"/>
    <hyperlink ref="A1628" location="'CDCM'!B1619" display="x4 = 2428. Multi rate non half hourly tariff pseudo load coefficient"/>
    <hyperlink ref="A1629" location="'CDCM'!B1503" display="x5 = 2416. Off-peak non half hourly units (MWh)"/>
    <hyperlink ref="A1630" location="'CDCM'!B1591" display="x6 = 2425. Off-peak non half hourly tariff pseudo load coefficient"/>
    <hyperlink ref="A1639" location="'CDCM'!B1633" display="x1 = 2429. Average non half hourly tariff pseudo load coefficient"/>
    <hyperlink ref="A1640" location="'CDCM'!B1572" display="x2 = 2423. Aggregated half hourly tariff pseudo load coefficient using average non half hourly unit mix"/>
    <hyperlink ref="A1649" location="'CDCM'!B1315" display="x1 = 2407. All units (MWh)"/>
    <hyperlink ref="A1658" location="'CDCM'!B1397" display="x1 = 2410. Use of distribution time bands by units in demand forecast for three-rate tariffs (in Calculation of implied load coefficients for three-rate users)"/>
    <hyperlink ref="A1667" location="'CDCM'!B1494" display="x1 = 2415. Aggregated half hourly pseudo timeband load coefficients"/>
    <hyperlink ref="A1668" location="'CDCM'!B1661" display="x2 = 2432. Aggregated half hourly timeband use"/>
    <hyperlink ref="A1677" location="'CDCM'!B1539" display="x1 = 2420. Single rate non half hourly units (MWh)"/>
    <hyperlink ref="A1678" location="'CDCM'!B1600" display="x2 = 2426. Single rate non half hourly tariff load coefficient"/>
    <hyperlink ref="A1679" location="'CDCM'!B1521" display="x3 = 2418. Multi rate non half hourly units (MWh)"/>
    <hyperlink ref="A1680" location="'CDCM'!B1619" display="x4 = 2428. Multi rate non half hourly tariff pseudo load coefficient"/>
    <hyperlink ref="A1681" location="'CDCM'!B1503" display="x5 = 2416. Off-peak non half hourly units (MWh)"/>
    <hyperlink ref="A1682" location="'CDCM'!B1591" display="x6 = 2425. Off-peak non half hourly tariff pseudo load coefficient"/>
    <hyperlink ref="A1683" location="'CDCM'!B1652" display="x7 = 2431. Aggregated half hourly units (MWh)"/>
    <hyperlink ref="A1684" location="'CDCM'!B1671" display="x8 = 2433. Aggregated half hourly tariff pseudo load coefficient"/>
    <hyperlink ref="A1685" location="'CDCM'!B1643" display="x9 = 2430. Relative correction factor for aggregated half hourly tariff"/>
    <hyperlink ref="A1694" location="'CDCM'!B1600" display="x1 = 2426. Single rate non half hourly tariff load coefficient"/>
    <hyperlink ref="A1695" location="'CDCM'!B1688" display="x2 = 2434. Correction factor for non half hourly tariffs"/>
    <hyperlink ref="A1704" location="'CDCM'!B1609" display="x1 = 2427. Multi rate non half hourly pseudo timeband load coefficients"/>
    <hyperlink ref="A1705" location="'CDCM'!B1688" display="x2 = 2434. Correction factor for non half hourly tariffs"/>
    <hyperlink ref="A1714" location="'CDCM'!B1581" display="x1 = 2424. Off-peak non half hourly pseudo timeband load coefficients"/>
    <hyperlink ref="A1715" location="'CDCM'!B1688" display="x2 = 2434. Correction factor for non half hourly tariffs"/>
    <hyperlink ref="A1724" location="'CDCM'!B1494" display="x1 = 2415. Aggregated half hourly pseudo timeband load coefficients"/>
    <hyperlink ref="A1725" location="'CDCM'!B1688" display="x2 = 2434. Correction factor for non half hourly tariffs"/>
    <hyperlink ref="A1726" location="'CDCM'!B1643" display="x3 = 2430. Relative correction factor for aggregated half hourly tariff"/>
    <hyperlink ref="A1735" location="'CDCM'!B1698" display="x1 = 2435. Single rate non half hourly corrected pseudo timeband load coefficient"/>
    <hyperlink ref="A1736" location="'CDCM'!B1708" display="x2 = 2436. Multi rate non half hourly corrected pseudo timeband load coefficient"/>
    <hyperlink ref="A1737" location="'CDCM'!B1718" display="x3 = 2437. Off-peak non half hourly corrected pseudo timeband load coefficient"/>
    <hyperlink ref="A1738" location="'CDCM'!B1729" display="x4 = 2438. Aggregated half hourly corrected pseudo timeband load coefficient"/>
    <hyperlink ref="A1739" location="'CDCM'!B1470" display="x5 = 2414. Pseudo load coefficient by time band and network level"/>
    <hyperlink ref="A1763" location="'CDCM'!B1742" display="x1 = 2439. Pseudo load coefficient by time band and network level (equalised)"/>
    <hyperlink ref="A1764" location="'CDCM'!B1239" display="x2 = 2403. Split of rate 1 units between distribution time bands"/>
    <hyperlink ref="A1788" location="'CDCM'!B1742" display="x1 = 2439. Pseudo load coefficient by time band and network level (equalised)"/>
    <hyperlink ref="A1789" location="'CDCM'!B1281" display="x2 = 2405. Split of rate 2 units between distribution time bands"/>
    <hyperlink ref="A1809" location="'CDCM'!B1742" display="x1 = 2439. Pseudo load coefficient by time band and network level (equalised)"/>
    <hyperlink ref="A1810" location="'CDCM'!B1298" display="x2 = 2406. Split of rate 3 units between distribution time bands (default)"/>
    <hyperlink ref="A1825" location="'CDCM'!B296" display="x1 = 1066. Typical annual hours by special distribution time band"/>
    <hyperlink ref="A1826" location="'CDCM'!F13" display="x2 = 1010. Days in the charging year (in Financial and general assumptions)"/>
    <hyperlink ref="A1827" location="'CDCM'!B1832" display="x3 = Total hours in the year according to special time band hours input data (in Adjust annual hours by special distribution time band to match days in year)"/>
    <hyperlink ref="A1837" location="'CDCM'!B286" display="x1 = 1064. Average split of rate 1 units by special distribution time band"/>
    <hyperlink ref="A1838" location="'CDCM'!B1845" display="x2 = Total split (in Normalisation of split of rate 1 units by special time band)"/>
    <hyperlink ref="A1839" location="'CDCM'!C1832" display="x3 = 2443. Annual hours by special distribution time band (reconciled to days in year) (in Adjust annual hours by special distribution time band to match days in year)"/>
    <hyperlink ref="A1840" location="'CDCM'!F13" display="x4 = 1010. Days in the charging year (in Financial and general assumptions)"/>
    <hyperlink ref="A1853" location="'CDCM'!C1845" display="x1 = 2444. Normalised split of rate 1 units by special distribution time band (in Normalisation of split of rate 1 units by special time band)"/>
    <hyperlink ref="A1876" location="'CDCM'!B1315" display="x1 = 2407. All units (MWh)"/>
    <hyperlink ref="A1877" location="'CDCM'!B1169" display="x2 = 2305. Rate 1 units (MWh) (in Equivalent volume for each end user)"/>
    <hyperlink ref="A1878" location="'CDCM'!B1857" display="x3 = 2445. Split of rate 1 units between special distribution time bands"/>
    <hyperlink ref="A1879" location="'CDCM'!C1832" display="x4 = 2443. Annual hours by special distribution time band (reconciled to days in year) (in Adjust annual hours by special distribution time band to match days in year)"/>
    <hyperlink ref="A1880" location="'CDCM'!B1886" display="x5 = Use of special distribution time bands by units in demand forecast for one-rate tariffs (in Calculation of implied special load coefficients for one-rate users)"/>
    <hyperlink ref="A1881" location="'CDCM'!F13" display="x6 = 1010. Days in the charging year (in Financial and general assumptions)"/>
    <hyperlink ref="A1894" location="'CDCM'!B1315" display="x1 = 2407. All units (MWh)"/>
    <hyperlink ref="A1895" location="'CDCM'!B1169" display="x2 = 2305. Rate 1 units (MWh) (in Equivalent volume for each end user)"/>
    <hyperlink ref="A1896" location="'CDCM'!B1857" display="x3 = 2445. Split of rate 1 units between special distribution time bands"/>
    <hyperlink ref="A1897" location="'CDCM'!C1169" display="x4 = 2305. Rate 2 units (MWh) (in Equivalent volume for each end user)"/>
    <hyperlink ref="A1898" location="'CDCM'!B1866" display="x5 = 2446. Split of rate 2 units between special distribution time bands (default)"/>
    <hyperlink ref="A1899" location="'CDCM'!D1169" display="x6 = 2305. Rate 3 units (MWh) (in Equivalent volume for each end user)"/>
    <hyperlink ref="A1900" location="'CDCM'!B1871" display="x7 = 2447. Split of rate 3 units between special distribution time bands (default)"/>
    <hyperlink ref="A1901" location="'CDCM'!C1832" display="x8 = 2443. Annual hours by special distribution time band (reconciled to days in year) (in Adjust annual hours by special distribution time band to match days in year)"/>
    <hyperlink ref="A1902" location="'CDCM'!B1908" display="x9 = Use of special distribution time bands by units in demand forecast for three-rate tariffs (in Calculation of implied special load coefficients for three-rate users)"/>
    <hyperlink ref="A1903" location="'CDCM'!F13" display="x10 = 1010. Days in the charging year (in Financial and general assumptions)"/>
    <hyperlink ref="A1913" location="'CDCM'!E1886" display="x1 = 2448. Peak band special load coefficient for one-rate tariffs (in Calculation of implied special load coefficients for one-rate users)"/>
    <hyperlink ref="A1914" location="'CDCM'!E1908" display="x2 = 2449. Peak band special load coefficient for three-rate tariffs (in Calculation of implied special load coefficients for three-rate users)"/>
    <hyperlink ref="A1915" location="'CDCM'!B1922" display="x3 = Peak band special load coefficient (in Estimated contributions to peak demand)"/>
    <hyperlink ref="A1916" location="'CDCM'!B1315" display="x4 = 2407. All units (MWh)"/>
    <hyperlink ref="A1917" location="'CDCM'!F13" display="x5 = 1010. Days in the charging year (in Financial and general assumptions)"/>
    <hyperlink ref="A1918" location="'CDCM'!B913" display="x6 = 2302. Load coefficient"/>
    <hyperlink ref="A1931" location="'CDCM'!C1922" display="x1 = 2450. Contribution to peak band kW (in Estimated contributions to peak demand)"/>
    <hyperlink ref="A1932" location="'CDCM'!D1922" display="x2 = 2450. Contribution to system-peak-time kW (in Estimated contributions to peak demand)"/>
    <hyperlink ref="A1940" location="'CDCM'!C1443" display="x1 = 2412. Normalised peaking probabilities (in Normalisation of peaking probabilities)"/>
    <hyperlink ref="A1941" location="'CDCM'!C1953" display="x2 = Amber peaking probabilities (in Calculation of special peaking probabilities)"/>
    <hyperlink ref="A1942" location="'CDCM'!F13" display="x3 = 1010. Days in the charging year (in Financial and general assumptions)"/>
    <hyperlink ref="A1943" location="'CDCM'!C1209" display="x4 = 2401. Annual hours by distribution time band (reconciled to days in year) (in Adjust annual hours by distribution time band to match days in year)"/>
    <hyperlink ref="A1944" location="'CDCM'!E310" display="x5 = 1069. Black peaking probabilities (in Peaking probabilities by network level)"/>
    <hyperlink ref="A1945" location="'CDCM'!B1953" display="x6 = Red peaking probabilities (in Calculation of special peaking probabilities)"/>
    <hyperlink ref="A1946" location="'CDCM'!E1953" display="x7 = Amber peaking rates (in Calculation of special peaking probabilities)"/>
    <hyperlink ref="A1947" location="'CDCM'!C1832" display="x8 = 2443. Annual hours by special distribution time band (reconciled to days in year) (in Adjust annual hours by special distribution time band to match days in year)"/>
    <hyperlink ref="A1948" location="'CDCM'!F1953" display="x9 = Yellow peaking probabilities (in Calculation of special peaking probabilities)"/>
    <hyperlink ref="A1949" location="'CDCM'!D1953" display="x10 = Green peaking probabilities (in Calculation of special peaking probabilities)"/>
    <hyperlink ref="A1966" location="'CDCM'!D1953" display="x1 = 2452. Green peaking probabilities (in Calculation of special peaking probabilities)"/>
    <hyperlink ref="A1967" location="'CDCM'!F1953" display="x2 = 2452. Yellow peaking probabilities (in Calculation of special peaking probabilities)"/>
    <hyperlink ref="A1968" location="'CDCM'!G1953" display="x3 = 2452. Black peaking probabilities (in Calculation of special peaking probabilities)"/>
    <hyperlink ref="A1984" location="'CDCM'!B1971" display="x1 = 2453. Special peaking probabilities by network level"/>
    <hyperlink ref="A1992" location="'CDCM'!C1832" display="x1 = 2443. Annual hours by special distribution time band (reconciled to days in year) (in Adjust annual hours by special distribution time band to match days in year)"/>
    <hyperlink ref="A1993" location="'CDCM'!B1935" display="x2 = 2451. Load coefficient correction factor for the group"/>
    <hyperlink ref="A1994" location="'CDCM'!B1987" display="x3 = 2454. Special peaking probabilities by network level (reshaped)"/>
    <hyperlink ref="A1995" location="'CDCM'!F13" display="x4 = 1010. Days in the charging year (in Financial and general assumptions)"/>
    <hyperlink ref="A2003" location="'CDCM'!B1998" display="x1 = 2455. Pseudo load coefficient by time band and network level"/>
    <hyperlink ref="A2004" location="'CDCM'!B1857" display="x2 = 2445. Split of rate 1 units between special distribution time bands"/>
    <hyperlink ref="A2016" location="'CDCM'!B1998" display="x1 = 2455. Pseudo load coefficient by time band and network level"/>
    <hyperlink ref="A2017" location="'CDCM'!B1866" display="x2 = 2446. Split of rate 2 units between special distribution time bands (default)"/>
    <hyperlink ref="A2025" location="'CDCM'!B1998" display="x1 = 2455. Pseudo load coefficient by time band and network level"/>
    <hyperlink ref="A2026" location="'CDCM'!B1871" display="x2 = 2447. Split of rate 3 units between special distribution time bands (default)"/>
    <hyperlink ref="A2034" location="'CDCM'!B1767" display="x1 = 2440. Unit rate 1 pseudo load coefficient by network level"/>
    <hyperlink ref="A2035" location="'CDCM'!B2007" display="x2 = 2456. Unit rate 1 pseudo load coefficient by network level (special)"/>
    <hyperlink ref="A2064" location="'CDCM'!B1792" display="x1 = 2441. Unit rate 2 pseudo load coefficient by network level"/>
    <hyperlink ref="A2065" location="'CDCM'!B2020" display="x2 = 2457. Unit rate 2 pseudo load coefficient by network level (special)"/>
    <hyperlink ref="A2086" location="'CDCM'!B1813" display="x1 = 2442. Unit rate 3 pseudo load coefficient by network level"/>
    <hyperlink ref="A2087" location="'CDCM'!B2029" display="x2 = 2458. Unit rate 3 pseudo load coefficient by network level (special)"/>
    <hyperlink ref="A2105" location="'CDCM'!B1169" display="x1 = 2305. Rate 1 units (MWh) (in Equivalent volume for each end user)"/>
    <hyperlink ref="A2106" location="'CDCM'!B2038" display="x2 = 2459. Unit rate 1 pseudo load coefficient by network level (combined)"/>
    <hyperlink ref="A2107" location="'CDCM'!B569" display="x3 = 2012. Loss adjustment factors between end user meter reading and each network level, scaled by network use"/>
    <hyperlink ref="A2108" location="'CDCM'!F13" display="x4 = 1010. Days in the charging year (in Financial and general assumptions)"/>
    <hyperlink ref="A2123" location="'CDCM'!B1169" display="x1 = 2305. Rate 1 units (MWh) (in Equivalent volume for each end user)"/>
    <hyperlink ref="A2124" location="'CDCM'!B2038" display="x2 = 2459. Unit rate 1 pseudo load coefficient by network level (combined)"/>
    <hyperlink ref="A2125" location="'CDCM'!C1169" display="x3 = 2305. Rate 2 units (MWh) (in Equivalent volume for each end user)"/>
    <hyperlink ref="A2126" location="'CDCM'!B2068" display="x4 = 2460. Unit rate 2 pseudo load coefficient by network level (combined)"/>
    <hyperlink ref="A2127" location="'CDCM'!B569" display="x5 = 2012. Loss adjustment factors between end user meter reading and each network level, scaled by network use"/>
    <hyperlink ref="A2128" location="'CDCM'!F13" display="x6 = 1010. Days in the charging year (in Financial and general assumptions)"/>
    <hyperlink ref="A2140" location="'CDCM'!B1169" display="x1 = 2305. Rate 1 units (MWh) (in Equivalent volume for each end user)"/>
    <hyperlink ref="A2141" location="'CDCM'!B2038" display="x2 = 2459. Unit rate 1 pseudo load coefficient by network level (combined)"/>
    <hyperlink ref="A2142" location="'CDCM'!C1169" display="x3 = 2305. Rate 2 units (MWh) (in Equivalent volume for each end user)"/>
    <hyperlink ref="A2143" location="'CDCM'!B2068" display="x4 = 2460. Unit rate 2 pseudo load coefficient by network level (combined)"/>
    <hyperlink ref="A2144" location="'CDCM'!D1169" display="x5 = 2305. Rate 3 units (MWh) (in Equivalent volume for each end user)"/>
    <hyperlink ref="A2145" location="'CDCM'!B2090" display="x6 = 2461. Unit rate 3 pseudo load coefficient by network level (combined)"/>
    <hyperlink ref="A2146" location="'CDCM'!B569" display="x7 = 2012. Loss adjustment factors between end user meter reading and each network level, scaled by network use"/>
    <hyperlink ref="A2147" location="'CDCM'!F13" display="x8 = 1010. Days in the charging year (in Financial and general assumptions)"/>
    <hyperlink ref="A2163" location="'CDCM'!B1315" display="x1 = 2407. All units (MWh)"/>
    <hyperlink ref="A2164" location="'CDCM'!B913" display="x2 = 2302. Load coefficient"/>
    <hyperlink ref="A2165" location="'CDCM'!B569" display="x3 = 2012. Loss adjustment factors between end user meter reading and each network level, scaled by network use"/>
    <hyperlink ref="A2166" location="'CDCM'!F13" display="x4 = 1010. Days in the charging year (in Financial and general assumptions)"/>
    <hyperlink ref="A2200" location="'CDCM'!B2111" display="x1 = 2501. Contributions of users on one-rate multi tariffs to system simultaneous maximum load by network level (kW)"/>
    <hyperlink ref="A2201" location="'CDCM'!B2131" display="x2 = 2502. Contributions of users on two-rate multi tariffs to system simultaneous maximum load by network level (kW)"/>
    <hyperlink ref="A2202" location="'CDCM'!B2150" display="x3 = 2503. Contributions of users on three-rate multi tariffs to system simultaneous maximum load by network level (kW)"/>
    <hyperlink ref="A2203" location="'CDCM'!B2169" display="x4 = 2504. Estimated contributions of users on each tariff to system simultaneous maximum load by network level (kW)"/>
    <hyperlink ref="A2237" location="'CDCM'!B2206" display="x1 = 2505. Contributions of users on each tariff to system simultaneous maximum load by network level (kW)"/>
    <hyperlink ref="A2247" location="'CDCM'!B2254" display="x1 = Standing charges factors (in Pre-processing of data for standing charge factors)"/>
    <hyperlink ref="A2248" location="'CDCM'!B35" display="x2 = 1018. Proportion of relevant load going through 132kV/HV direct transformation"/>
    <hyperlink ref="A2249" location="'CDCM'!J2254" display="x3 = Standing charges factors for 132kV/HV (in Pre-processing of data for standing charge factors)"/>
    <hyperlink ref="A2277" location="'CDCM'!J2254" display="x1 = 2601. Standing charges factors for 132kV/HV (in Pre-processing of data for standing charge factors)"/>
    <hyperlink ref="A2278" location="'CDCM'!K2254" display="x2 = 2601. Adjusted standing charges factors for 132kV (in Pre-processing of data for standing charge factors)"/>
    <hyperlink ref="A2279" location="'CDCM'!B2254" display="x3 = 2601. Standing charges factors (in Pre-processing of data for standing charge factors)"/>
    <hyperlink ref="A2305" location="'CDCM'!F1169" display="x1 = 2305. Import capacity (kVA) (in Equivalent volume for each end user)"/>
    <hyperlink ref="A2306" location="'CDCM'!E13" display="x2 = 1010. Power factor for all flows in the network model (in Financial and general assumptions)"/>
    <hyperlink ref="A2307" location="'CDCM'!B2282" display="x3 = 2602. Standing charges factors adapted to use 132kV/HV"/>
    <hyperlink ref="A2308" location="'CDCM'!B569" display="x4 = 2012. Loss adjustment factors between end user meter reading and each network level, scaled by network use"/>
    <hyperlink ref="A2318" location="'CDCM'!B1315" display="x1 = 2407. All units (MWh)"/>
    <hyperlink ref="A2319" location="'CDCM'!C115" display="x2 = 1041. Load factor for each type of demand user (in Load profile data for demand users)"/>
    <hyperlink ref="A2320" location="'CDCM'!B2282" display="x3 = 2602. Standing charges factors adapted to use 132kV/HV"/>
    <hyperlink ref="A2321" location="'CDCM'!B569" display="x4 = 2012. Loss adjustment factors between end user meter reading and each network level, scaled by network use"/>
    <hyperlink ref="A2322" location="'CDCM'!F13" display="x5 = 1010. Days in the charging year (in Financial and general assumptions)"/>
    <hyperlink ref="A2338" location="'CDCM'!B2311" display="x1 = 2603. Capacity-based contributions to chargeable aggregate maximum load by network level (kW)"/>
    <hyperlink ref="A2339" location="'CDCM'!B2325" display="x2 = 2604. Unit-based contributions to chargeable aggregate maximum load (kW)"/>
    <hyperlink ref="A2363" location="'CDCM'!B2342" display="x1 = 2605. Contributions to aggregate maximum load by network level (kW)"/>
    <hyperlink ref="A2371" location="'CDCM'!B2206" display="x1 = 2505. Contributions of users on each tariff to system simultaneous maximum load by network level (kW)"/>
    <hyperlink ref="A2372" location="'CDCM'!B2282" display="x2 = 2602. Standing charges factors adapted to use 132kV/HV"/>
    <hyperlink ref="A2398" location="'CDCM'!B2375" display="x1 = 2607. Forecast simultaneous load subject to standing charge factors (kW)"/>
    <hyperlink ref="A2406" location="'CDCM'!B2366" display="x1 = 2606. Forecast chargeable aggregate maximum load (kW)"/>
    <hyperlink ref="A2407" location="'CDCM'!B2401" display="x2 = 2608. Forecast simultaneous load replaced by standing charge (kW)"/>
    <hyperlink ref="A2427" location="'CDCM'!D644" display="x1 = 2104. Diversity allowance between level exit and GSP Group (in Diversity calculations)"/>
    <hyperlink ref="A2428" location="'CDCM'!B2415" display="x2 = 2610. Network level mapping for diversity allowances"/>
    <hyperlink ref="A2444" location="'CDCM'!B2410" display="x1 = 2609. Calculated LV diversity allowance"/>
    <hyperlink ref="A2445" location="'CDCM'!B2431" display="x2 = 2611. Diversity allowances including 132kV/HV"/>
    <hyperlink ref="A2453" location="'CDCM'!B2240" display="x1 = 2506. Forecast system simultaneous maximum load (kW) from forecast units"/>
    <hyperlink ref="A2454" location="'CDCM'!B2401" display="x2 = 2608. Forecast simultaneous load replaced by standing charge (kW)"/>
    <hyperlink ref="A2455" location="'CDCM'!B2366" display="x3 = 2606. Forecast chargeable aggregate maximum load (kW)"/>
    <hyperlink ref="A2456" location="'CDCM'!B2448" display="x4 = 2612. Diversity allowances (including calculated LV value)"/>
    <hyperlink ref="A2466" location="'CDCM'!B243" display="x1 = 1055. Transmission exit charges (£/year)"/>
    <hyperlink ref="A2475" location="'CDCM'!B709" display="x1 = 2108. GSP simultaneous maximum load assumed through each network level (MW)"/>
    <hyperlink ref="A2476" location="'CDCM'!B2459" display="x2 = 2613. Forecast simultaneous maximum load (kW) adjusted for standing charges"/>
    <hyperlink ref="A2477" location="'CDCM'!B45" display="x3 = 1020. Gross asset cost by network level (£)"/>
    <hyperlink ref="A2485" location="'CDCM'!B1315" display="x1 = 2407. All units (MWh)"/>
    <hyperlink ref="A2497" location="'CDCM'!B2488" display="x1 = 2703. Annual consumption by tariff for unmetered users (MWh)"/>
    <hyperlink ref="A2505" location="'CDCM'!B800" display="x1 = 2205. Service model assets by tariff (£)"/>
    <hyperlink ref="A2506" location="'CDCM'!E1169" display="x2 = 2305. MPANs (in Equivalent volume for each end user)"/>
    <hyperlink ref="A2507" location="'CDCM'!B769" display="x3 = 2202. Asset £/(MWh/year) from LV service models"/>
    <hyperlink ref="A2508" location="'CDCM'!B2500" display="x4 = 2704. Total unmetered units"/>
    <hyperlink ref="A2509" location="'CDCM'!D2516" display="x5 = Service model assets (£) scaled by annual MWh (in Service model asset data)"/>
    <hyperlink ref="A2510" location="'CDCM'!B2516" display="x6 = Service model assets (£) scaled by user count (in Service model asset data)"/>
    <hyperlink ref="A2511" location="'CDCM'!E2516" display="x7 = Service model assets (£) scaled by annual MWh (in Service model asset data)"/>
    <hyperlink ref="A2521" location="'CDCM'!B2480" display="x1 = 2702. Network model assets (£) scaled by load forecast"/>
    <hyperlink ref="A2522" location="'CDCM'!G2516" display="x2 = 2705. Service model assets (£) (in Service model asset data)"/>
    <hyperlink ref="A2523" location="'CDCM'!B2528" display="x3 = Model assets (£) scaled by demand forecast (in Data for allocation of operating expenditure)"/>
    <hyperlink ref="A2533" location="'CDCM'!B248" display="x1 = 1059. Direct cost (£/year) (in Other expenditure)"/>
    <hyperlink ref="A2534" location="'CDCM'!E248" display="x2 = 1059. Network rates (£/year) (in Other expenditure)"/>
    <hyperlink ref="A2535" location="'CDCM'!C248" display="x3 = 1059. Indirect cost (£/year) (in Other expenditure)"/>
    <hyperlink ref="A2536" location="'CDCM'!D248" display="x4 = 1059. Indirect cost proportion (in Other expenditure)"/>
    <hyperlink ref="A2544" location="'CDCM'!B2470" display="x1 = 2701. Operating expenditure coded by network level (£/year)"/>
    <hyperlink ref="A2545" location="'CDCM'!B2539" display="x2 = 2707. Amount of expenditure to be allocated according to asset values (£/year)"/>
    <hyperlink ref="A2546" location="'CDCM'!M2528" display="x3 = 2706. Denominator for allocation of operating expenditure (in Data for allocation of operating expenditure)"/>
    <hyperlink ref="A2547" location="'CDCM'!B2528" display="x4 = 2706. Model assets (£) scaled by demand forecast (in Data for allocation of operating expenditure)"/>
    <hyperlink ref="A2555" location="'CDCM'!B2528" display="x1 = 2706. Model assets (£) scaled by demand forecast (in Data for allocation of operating expenditure)"/>
    <hyperlink ref="A2556" location="'CDCM'!B2550" display="x2 = 2708. Total operating expenditure by network level  (£/year)"/>
    <hyperlink ref="A2564" location="'CDCM'!B2459" display="x1 = 2613. Forecast simultaneous maximum load (kW) adjusted for standing charges"/>
    <hyperlink ref="A2565" location="'CDCM'!B2550" display="x2 = 2708. Total operating expenditure by network level  (£/year)"/>
    <hyperlink ref="A2573" location="'CDCM'!F13" display="x1 = 1010. Days in the charging year (in Financial and general assumptions)"/>
    <hyperlink ref="A2574" location="'CDCM'!B2559" display="x2 = 2709. Operating expenditure percentage by network level"/>
    <hyperlink ref="A2575" location="'CDCM'!B800" display="x3 = 2205. Service model assets by tariff (£)"/>
    <hyperlink ref="A2576" location="'CDCM'!B2581" display="x4 = Operating expenditure p/MPAN/day by level (in Operating expenditure for customer assets p/MPAN/day)"/>
    <hyperlink ref="A2612" location="'CDCM'!B2559" display="x1 = 2709. Operating expenditure percentage by network level"/>
    <hyperlink ref="A2613" location="'CDCM'!B769" display="x2 = 2202. Asset £/(MWh/year) from LV service models"/>
    <hyperlink ref="A2659" location="'CDCM'!B256" display="x1 = 1060. Customer contributions under current connection charging policy"/>
    <hyperlink ref="A2660" location="'CDCM'!D13" display="x2 = 1010. Annuity proportion for customer-contributed assets (in Financial and general assumptions)"/>
    <hyperlink ref="A2675" location="'CDCM'!B2628" display="x1 = 2801. Network level of supply (for customer contributions) by tariff"/>
    <hyperlink ref="A2676" location="'CDCM'!B2663" display="x2 = 2802. Contribution proportion of asset annuities, by customer type and network level of assets"/>
    <hyperlink ref="A2712" location="'CDCM'!B2679" display="x3 = 2803. Proportion of assets annuities deemed to be covered by customer contributions"/>
    <hyperlink ref="A2749" location="'CDCM'!B726" display="x1 = 2109. Network model annuity by simultaneous maximum load for each network level (£/kW/year)"/>
    <hyperlink ref="A2750" location="'CDCM'!B2568" display="x2 = 2710. Unit operating expenditure based on simultaneous maximum load (£/kW/year)"/>
    <hyperlink ref="A2758" location="'CDCM'!B2753" display="x1 = 2901. Unit cost at each level, £/kW/year (relative to system simultaneous maximum load)"/>
    <hyperlink ref="A2759" location="'CDCM'!B913" display="x2 = 2302. Load coefficient"/>
    <hyperlink ref="A2760" location="'CDCM'!B569" display="x3 = 2012. Loss adjustment factors between end user meter reading and each network level, scaled by network use"/>
    <hyperlink ref="A2761" location="'CDCM'!B2715" display="x4 = 2804. Proportion of annual charge covered by contributions (for all charging levels)"/>
    <hyperlink ref="A2762" location="'CDCM'!F13" display="x5 = 1010. Days in the charging year (in Financial and general assumptions)"/>
    <hyperlink ref="A2796" location="'CDCM'!B2038" display="x1 = 2459. Unit rate 1 pseudo load coefficient by network level (combined)"/>
    <hyperlink ref="A2797" location="'CDCM'!B2753" display="x2 = 2901. Unit cost at each level, £/kW/year (relative to system simultaneous maximum load)"/>
    <hyperlink ref="A2798" location="'CDCM'!B569" display="x3 = 2012. Loss adjustment factors between end user meter reading and each network level, scaled by network use"/>
    <hyperlink ref="A2799" location="'CDCM'!B2715" display="x4 = 2804. Proportion of annual charge covered by contributions (for all charging levels)"/>
    <hyperlink ref="A2800" location="'CDCM'!F13" display="x5 = 1010. Days in the charging year (in Financial and general assumptions)"/>
    <hyperlink ref="A2829" location="'CDCM'!B2068" display="x1 = 2460. Unit rate 2 pseudo load coefficient by network level (combined)"/>
    <hyperlink ref="A2830" location="'CDCM'!B2753" display="x2 = 2901. Unit cost at each level, £/kW/year (relative to system simultaneous maximum load)"/>
    <hyperlink ref="A2831" location="'CDCM'!B569" display="x3 = 2012. Loss adjustment factors between end user meter reading and each network level, scaled by network use"/>
    <hyperlink ref="A2832" location="'CDCM'!B2715" display="x4 = 2804. Proportion of annual charge covered by contributions (for all charging levels)"/>
    <hyperlink ref="A2833" location="'CDCM'!F13" display="x5 = 1010. Days in the charging year (in Financial and general assumptions)"/>
    <hyperlink ref="A2854" location="'CDCM'!B2090" display="x1 = 2461. Unit rate 3 pseudo load coefficient by network level (combined)"/>
    <hyperlink ref="A2855" location="'CDCM'!B2753" display="x2 = 2901. Unit cost at each level, £/kW/year (relative to system simultaneous maximum load)"/>
    <hyperlink ref="A2856" location="'CDCM'!B569" display="x3 = 2012. Loss adjustment factors between end user meter reading and each network level, scaled by network use"/>
    <hyperlink ref="A2857" location="'CDCM'!B2715" display="x4 = 2804. Proportion of annual charge covered by contributions (for all charging levels)"/>
    <hyperlink ref="A2858" location="'CDCM'!F13" display="x5 = 1010. Days in the charging year (in Financial and general assumptions)"/>
    <hyperlink ref="A2877" location="'CDCM'!B2753" display="x1 = 2901. Unit cost at each level, £/kW/year (relative to system simultaneous maximum load)"/>
    <hyperlink ref="A2878" location="'CDCM'!B2448" display="x2 = 2612. Diversity allowances (including calculated LV value)"/>
    <hyperlink ref="A2887" location="'CDCM'!B2282" display="x1 = 2602. Standing charges factors adapted to use 132kV/HV"/>
    <hyperlink ref="A2888" location="'CDCM'!B569" display="x2 = 2012. Loss adjustment factors between end user meter reading and each network level, scaled by network use"/>
    <hyperlink ref="A2889" location="'CDCM'!B2881" display="x3 = 3001. Costs based on aggregate maximum load (£/kW/year)"/>
    <hyperlink ref="A2890" location="'CDCM'!E13" display="x4 = 1010. Power factor for all flows in the network model (in Financial and general assumptions)"/>
    <hyperlink ref="A2891" location="'CDCM'!F13" display="x5 = 1010. Days in the charging year (in Financial and general assumptions)"/>
    <hyperlink ref="A2892" location="'CDCM'!B2715" display="x6 = 2804. Proportion of annual charge covered by contributions (for all charging levels)"/>
    <hyperlink ref="A2918" location="'CDCM'!B2282" display="x1 = 2602. Standing charges factors adapted to use 132kV/HV"/>
    <hyperlink ref="A2919" location="'CDCM'!B2765" display="x2 = 2902. Pay-as-you-go yardstick unit costs by charging level (p/kWh)"/>
    <hyperlink ref="A2945" location="'CDCM'!B2282" display="x1 = 2602. Standing charges factors adapted to use 132kV/HV"/>
    <hyperlink ref="A2946" location="'CDCM'!B2803" display="x2 = 2903. Contributions to pay-as-you-go unit rate 1 (p/kWh)"/>
    <hyperlink ref="A2972" location="'CDCM'!B2282" display="x1 = 2602. Standing charges factors adapted to use 132kV/HV"/>
    <hyperlink ref="A2973" location="'CDCM'!B2836" display="x2 = 2904. Contributions to pay-as-you-go unit rate 2 (p/kWh)"/>
    <hyperlink ref="A2991" location="'CDCM'!B2282" display="x1 = 2602. Standing charges factors adapted to use 132kV/HV"/>
    <hyperlink ref="A2992" location="'CDCM'!B2861" display="x2 = 2905. Contributions to pay-as-you-go unit rate 3 (p/kWh)"/>
    <hyperlink ref="A3021" location="'CDCM'!B1315" display="x1 = 2407. All units (MWh)"/>
    <hyperlink ref="A3022" location="'CDCM'!C115" display="x2 = 1041. Load factor for each type of demand user (in Load profile data for demand users)"/>
    <hyperlink ref="A3023" location="'CDCM'!F13" display="x3 = 1010. Days in the charging year (in Financial and general assumptions)"/>
    <hyperlink ref="A3024" location="'CDCM'!E1169" display="x4 = 2305. MPANs (in Equivalent volume for each end user)"/>
    <hyperlink ref="A3041" location="'CDCM'!B3008" display="x1 = 3101. Mapping of tariffs to tariff groups"/>
    <hyperlink ref="A3042" location="'CDCM'!C3028" display="x2 = 3102. MPANs (in Equivalent volume for each end user) (in Capacity use for tariffs charged for capacity on an exit point basis)"/>
    <hyperlink ref="A3050" location="'CDCM'!B3008" display="x1 = 3101. Mapping of tariffs to tariff groups"/>
    <hyperlink ref="A3051" location="'CDCM'!B3028" display="x2 = 3102. Unit-based contributions to aggregate maximum load (kW) (in Capacity use for tariffs charged for capacity on an exit point basis)"/>
    <hyperlink ref="A3059" location="'CDCM'!B3045" display="x1 = 3103. Aggregate number of users charged for capacity on an exit point basis"/>
    <hyperlink ref="A3060" location="'CDCM'!B3054" display="x2 = 3104. Aggregate capacity (kW)"/>
    <hyperlink ref="A3061" location="'CDCM'!E13" display="x3 = 1010. Power factor for all flows in the network model (in Financial and general assumptions)"/>
    <hyperlink ref="A3069" location="'CDCM'!B3008" display="x1 = 3101. Mapping of tariffs to tariff groups"/>
    <hyperlink ref="A3070" location="'CDCM'!B3064" display="x2 = 3105. Average maximum kVA by exit point"/>
    <hyperlink ref="A3086" location="'CDCM'!B2895" display="x1 = 3002. Capacity elements p/kVA/day"/>
    <hyperlink ref="A3087" location="'CDCM'!B3073" display="x2 = 3106. Deemed average maximum kVA for each tariff"/>
    <hyperlink ref="A3105" location="'CDCM'!B2922" display="x1 = 3003. Yardstick components p/kWh (taking account of standing charges)"/>
    <hyperlink ref="A3115" location="'CDCM'!B3108" display="x1 = 3201. Standard components p/kWh for reactive power (absolute value)"/>
    <hyperlink ref="A3116" location="'CDCM'!B331" display="x2 = 1092. Average kVAr by kVA, by network level"/>
    <hyperlink ref="A3117" location="'CDCM'!E13" display="x3 = 1010. Power factor for all flows in the network model (in Financial and general assumptions)"/>
    <hyperlink ref="A3139" location="'CDCM'!B913" display="x1 = 2302. Load coefficient"/>
    <hyperlink ref="A3152" location="'CDCM'!B2753" display="x1 = 2901. Unit cost at each level, £/kW/year (relative to system simultaneous maximum load)"/>
    <hyperlink ref="A3153" location="'CDCM'!B3142" display="x2 = 3204. Absolute value of load coefficient (kW peak / average kW)"/>
    <hyperlink ref="A3154" location="'CDCM'!I346" display="x3 = 2001. Loss adjustment factor to transmission (in Loss adjustment factors to transmission)"/>
    <hyperlink ref="A3155" location="'CDCM'!B409" display="x4 = 2004. Loss adjustment factor to transmission for each network level"/>
    <hyperlink ref="A3156" location="'CDCM'!B2715" display="x5 = 2804. Proportion of annual charge covered by contributions (for all charging levels)"/>
    <hyperlink ref="A3157" location="'CDCM'!B3129" display="x6 = 3203. Network use factors for generator reactive unit charges"/>
    <hyperlink ref="A3158" location="'CDCM'!F13" display="x7 = 1010. Days in the charging year (in Financial and general assumptions)"/>
    <hyperlink ref="A3171" location="'CDCM'!B3161" display="x1 = 3205. Pay-as-you-go components p/kWh for reactive power (absolute value)"/>
    <hyperlink ref="A3172" location="'CDCM'!B331" display="x2 = 1092. Average kVAr by kVA, by network level"/>
    <hyperlink ref="A3173" location="'CDCM'!E13" display="x3 = 1010. Power factor for all flows in the network model (in Financial and general assumptions)"/>
    <hyperlink ref="A3189" location="'CDCM'!B2949" display="x1 = 3004. Unit rate 1 total p/kWh (taking account of standing charges) — for Tariffs with Unit rate 1 p/kWh from Standard 1 kWh"/>
    <hyperlink ref="A3190" location="'CDCM'!B2803" display="x2 = 2903. Pay-as-you-go unit rate 1 (p/kWh) — for Tariffs with Unit rate 1 p/kWh from PAYG 1 kWh"/>
    <hyperlink ref="A3191" location="'CDCM'!B2803" display="x3 = 2903. Pay-as-you-go unit rate 1 (p/kWh) — for Tariffs with Unit rate 1 p/kWh from PAYG 1 kWh &amp; customer"/>
    <hyperlink ref="A3192" location="'CDCM'!B2765" display="x4 = 2902. Pay-as-you-go yardstick unit rate (p/kWh) — for Tariffs with Unit rate 1 p/kWh from PAYG yardstick kWh"/>
    <hyperlink ref="A3193" location="'CDCM'!B779" display="x5 = 2203. Service model asset p/kWh charge for unmetered tariffs — for Tariffs with Unit rate 1 p/kWh from PAYG 1 kWh &amp; customer"/>
    <hyperlink ref="A3194" location="'CDCM'!B2616" display="x6 = 2712. Operating expenditure for unmetered customer assets (p/kWh) — for Tariffs with Unit rate 1 p/kWh from PAYG 1 kWh &amp; customer"/>
    <hyperlink ref="A3228" location="'CDCM'!B2976" display="x1 = 3005. Unit rate 2 total p/kWh (taking account of standing charges) — for Tariffs with Unit rate 2 p/kWh from Standard 2 kWh"/>
    <hyperlink ref="A3229" location="'CDCM'!B2836" display="x2 = 2904. Pay-as-you-go unit rate 2 (p/kWh) — for Tariffs with Unit rate 2 p/kWh from PAYG 2 kWh"/>
    <hyperlink ref="A3230" location="'CDCM'!B2836" display="x3 = 2904. Pay-as-you-go unit rate 2 (p/kWh) — for Tariffs with Unit rate 2 p/kWh from PAYG 2 kWh &amp; customer"/>
    <hyperlink ref="A3231" location="'CDCM'!B779" display="x4 = 2203. Service model asset p/kWh charge for unmetered tariffs — for Tariffs with Unit rate 2 p/kWh from PAYG 2 kWh &amp; customer"/>
    <hyperlink ref="A3232" location="'CDCM'!B2616" display="x5 = 2712. Operating expenditure for unmetered customer assets (p/kWh) — for Tariffs with Unit rate 2 p/kWh from PAYG 2 kWh &amp; customer"/>
    <hyperlink ref="A3266" location="'CDCM'!B2995" display="x1 = 3006. Unit rate 3 total p/kWh (taking account of standing charges) — for Tariffs with Unit rate 3 p/kWh from Standard 3 kWh"/>
    <hyperlink ref="A3267" location="'CDCM'!B2861" display="x2 = 2905. Pay-as-you-go unit rate 3 (p/kWh) — for Tariffs with Unit rate 3 p/kWh from PAYG 3 kWh"/>
    <hyperlink ref="A3268" location="'CDCM'!B2861" display="x3 = 2905. Pay-as-you-go unit rate 3 (p/kWh) — for Tariffs with Unit rate 3 p/kWh from PAYG 3 kWh &amp; customer"/>
    <hyperlink ref="A3269" location="'CDCM'!B779" display="x4 = 2203. Service model asset p/kWh charge for unmetered tariffs — for Tariffs with Unit rate 3 p/kWh from PAYG 3 kWh &amp; customer"/>
    <hyperlink ref="A3270" location="'CDCM'!B2616" display="x5 = 2712. Operating expenditure for unmetered customer assets (p/kWh) — for Tariffs with Unit rate 3 p/kWh from PAYG 3 kWh &amp; customer"/>
    <hyperlink ref="A3304" location="'CDCM'!B3090" display="x1 = 3107. Fixed charge from standing charges factors p/MPAN/day — for Tariffs with Fixed charge p/MPAN/day from Fixed from network &amp; customer"/>
    <hyperlink ref="A3305" location="'CDCM'!B840" display="x2 = 2206. Service model p/MPAN/day (in Replacement annuities for service models) — for Tariffs with Fixed charge p/MPAN/day from Customer"/>
    <hyperlink ref="A3306" location="'CDCM'!B840" display="x3 = 2206. Service model p/MPAN/day (in Replacement annuities for service models) — for Tariffs with Fixed charge p/MPAN/day from Fixed from network &amp; customer"/>
    <hyperlink ref="A3307" location="'CDCM'!B2581" display="x4 = 2711. Operating expenditure for customer assets p/MPAN/day total (in Operating expenditure for customer assets p/MPAN/day) — for Tariffs with Fixed charge p/MPAN/day from Customer"/>
    <hyperlink ref="A3308" location="'CDCM'!B2581" display="x5 = 2711. Operating expenditure for customer assets p/MPAN/day total (in Operating expenditure for customer assets p/MPAN/day) — for Tariffs with Fixed charge p/MPAN/day from Fixed from network &amp; customer"/>
    <hyperlink ref="A3342" location="'CDCM'!B2895" display="x1 = 3002. Capacity charge p/kVA/day — for Tariffs with Capacity charge p/kVA/day from Capacity"/>
    <hyperlink ref="A3376" location="'CDCM'!B3176" display="x1 = 3206. Pay-as-you-go reactive p/kVArh"/>
    <hyperlink ref="A3377" location="'CDCM'!B3120" display="x2 = 3202. Standard reactive p/kVArh"/>
    <hyperlink ref="A3411" location="'CDCM'!B3197" display="x1 = 3301. Unit rate 1 p/kWh (elements)"/>
    <hyperlink ref="A3412" location="'CDCM'!B3235" display="x2 = 3302. Unit rate 2 p/kWh (elements)"/>
    <hyperlink ref="A3413" location="'CDCM'!B3273" display="x3 = 3303. Unit rate 3 p/kWh (elements)"/>
    <hyperlink ref="A3414" location="'CDCM'!B3311" display="x4 = 3304. Fixed charge p/MPAN/day (elements)"/>
    <hyperlink ref="A3415" location="'CDCM'!B3345" display="x5 = 3305. Capacity charge p/kVA/day (elements)"/>
    <hyperlink ref="A3416" location="'CDCM'!B3380" display="x6 = 3306. Reactive power charge p/kVArh (elements)"/>
    <hyperlink ref="A3453" location="'CDCM'!F13" display="x1 = 1010. Days in the charging year (in Financial and general assumptions)"/>
    <hyperlink ref="A3454" location="'CDCM'!E3420" display="x2 = 3307. Fixed charge p/MPAN/day (total) (in Summary of charges before revenue matching)"/>
    <hyperlink ref="A3455" location="'CDCM'!E1169" display="x3 = 2305. MPANs (in Equivalent volume for each end user)"/>
    <hyperlink ref="A3456" location="'CDCM'!F3420" display="x4 = 3307. Capacity charge p/kVA/day (total) (in Summary of charges before revenue matching)"/>
    <hyperlink ref="A3457" location="'CDCM'!F1169" display="x5 = 2305. Import capacity (kVA) (in Equivalent volume for each end user)"/>
    <hyperlink ref="A3458" location="'CDCM'!B3420" display="x6 = 3307. Unit rate 1 p/kWh (total) (in Summary of charges before revenue matching)"/>
    <hyperlink ref="A3459" location="'CDCM'!B1169" display="x7 = 2305. Rate 1 units (MWh) (in Equivalent volume for each end user)"/>
    <hyperlink ref="A3460" location="'CDCM'!C3420" display="x8 = 3307. Unit rate 2 p/kWh (total) (in Summary of charges before revenue matching)"/>
    <hyperlink ref="A3461" location="'CDCM'!C1169" display="x9 = 2305. Rate 2 units (MWh) (in Equivalent volume for each end user)"/>
    <hyperlink ref="A3462" location="'CDCM'!D3420" display="x10 = 3307. Unit rate 3 p/kWh (total) (in Summary of charges before revenue matching)"/>
    <hyperlink ref="A3463" location="'CDCM'!D1169" display="x11 = 2305. Rate 3 units (MWh) (in Equivalent volume for each end user)"/>
    <hyperlink ref="A3464" location="'CDCM'!G3420" display="x12 = 3307. Reactive power charge p/kVArh (in Summary of charges before revenue matching)"/>
    <hyperlink ref="A3465" location="'CDCM'!G1169" display="x13 = 2305. Reactive power units (MVArh) (in Equivalent volume for each end user)"/>
    <hyperlink ref="A3499" location="'CDCM'!B3468" display="x1 = 3401. Net revenues by tariff before matching (£)"/>
    <hyperlink ref="A3500" location="'CDCM'!B324" display="x2 = 1076. Target CDCM net revenue (£/year)"/>
    <hyperlink ref="A3501" location="'CDCM'!B3505" display="x3 = Total net revenues before matching (£) (in Revenue surplus or shortfall)"/>
    <hyperlink ref="A3513" location="'CDCM'!B2753" display="x1 = 2901. Unit cost at each level, £/kW/year (relative to system simultaneous maximum load)"/>
    <hyperlink ref="A3521" location="'CDCM'!B3516" display="x1 = 3501. Factor to scale to £1/kW at transmission exit level"/>
    <hyperlink ref="A3530" location="'CDCM'!B3197" display="x1 = 3301. Unit rate 1 p/kWh (elements)"/>
    <hyperlink ref="A3531" location="'CDCM'!B3525" display="x2 = 3502. Applicability factor for £1/kW scaler"/>
    <hyperlink ref="A3532" location="'CDCM'!B3235" display="x3 = 3302. Unit rate 2 p/kWh (elements)"/>
    <hyperlink ref="A3533" location="'CDCM'!B3273" display="x4 = 3303. Unit rate 3 p/kWh (elements)"/>
    <hyperlink ref="A3534" location="'CDCM'!B3311" display="x5 = 3304. Fixed charge p/MPAN/day (elements)"/>
    <hyperlink ref="A3535" location="'CDCM'!B3345" display="x6 = 3305. Capacity charge p/kVA/day (elements)"/>
    <hyperlink ref="A3536" location="'CDCM'!B3380" display="x7 = 3306. Reactive power charge p/kVArh (elements)"/>
    <hyperlink ref="A3571" location="'CDCM'!B3540" display="x1 = 3503. Unit rate 1 p/kWh scalable part (in Scalable elements of tariff components)"/>
    <hyperlink ref="A3572" location="'CDCM'!B3420" display="x2 = 3307. Unit rate 1 p/kWh (total) (in Summary of charges before revenue matching)"/>
    <hyperlink ref="A3573" location="'CDCM'!C3540" display="x3 = 3503. Unit rate 2 p/kWh scalable part (in Scalable elements of tariff components)"/>
    <hyperlink ref="A3574" location="'CDCM'!C3420" display="x4 = 3307. Unit rate 2 p/kWh (total) (in Summary of charges before revenue matching)"/>
    <hyperlink ref="A3575" location="'CDCM'!D3540" display="x5 = 3503. Unit rate 3 p/kWh scalable part (in Scalable elements of tariff components)"/>
    <hyperlink ref="A3576" location="'CDCM'!D3420" display="x6 = 3307. Unit rate 3 p/kWh (total) (in Summary of charges before revenue matching)"/>
    <hyperlink ref="A3577" location="'CDCM'!E3540" display="x7 = 3503. Fixed charge p/MPAN/day scalable part (in Scalable elements of tariff components)"/>
    <hyperlink ref="A3578" location="'CDCM'!E3420" display="x8 = 3307. Fixed charge p/MPAN/day (total) (in Summary of charges before revenue matching)"/>
    <hyperlink ref="A3579" location="'CDCM'!F3540" display="x9 = 3503. Capacity charge p/kVA/day scalable part (in Scalable elements of tariff components)"/>
    <hyperlink ref="A3580" location="'CDCM'!F3420" display="x10 = 3307. Capacity charge p/kVA/day (total) (in Summary of charges before revenue matching)"/>
    <hyperlink ref="A3581" location="'CDCM'!G3540" display="x11 = 3503. Reactive power charge p/kVArh scalable part (in Scalable elements of tariff components)"/>
    <hyperlink ref="A3582" location="'CDCM'!G3420" display="x12 = 3307. Reactive power charge p/kVArh (in Summary of charges before revenue matching)"/>
    <hyperlink ref="A3617" location="'CDCM'!B913" display="x1 = 2302. Load coefficient"/>
    <hyperlink ref="A3618" location="'CDCM'!B3540" display="x2 = 3503. Unit rate 1 p/kWh scalable part (in Scalable elements of tariff components)"/>
    <hyperlink ref="A3619" location="'CDCM'!B1169" display="x3 = 2305. Rate 1 units (MWh) (in Equivalent volume for each end user)"/>
    <hyperlink ref="A3620" location="'CDCM'!C3540" display="x4 = 3503. Unit rate 2 p/kWh scalable part (in Scalable elements of tariff components)"/>
    <hyperlink ref="A3621" location="'CDCM'!C1169" display="x5 = 2305. Rate 2 units (MWh) (in Equivalent volume for each end user)"/>
    <hyperlink ref="A3622" location="'CDCM'!D3540" display="x6 = 3503. Unit rate 3 p/kWh scalable part (in Scalable elements of tariff components)"/>
    <hyperlink ref="A3623" location="'CDCM'!D1169" display="x7 = 2305. Rate 3 units (MWh) (in Equivalent volume for each end user)"/>
    <hyperlink ref="A3624" location="'CDCM'!E3540" display="x8 = 3503. Fixed charge p/MPAN/day scalable part (in Scalable elements of tariff components)"/>
    <hyperlink ref="A3625" location="'CDCM'!F13" display="x9 = 1010. Days in the charging year (in Financial and general assumptions)"/>
    <hyperlink ref="A3626" location="'CDCM'!E1169" display="x10 = 2305. MPANs (in Equivalent volume for each end user)"/>
    <hyperlink ref="A3627" location="'CDCM'!F3540" display="x11 = 3503. Capacity charge p/kVA/day scalable part (in Scalable elements of tariff components)"/>
    <hyperlink ref="A3628" location="'CDCM'!F1169" display="x12 = 2305. Import capacity (kVA) (in Equivalent volume for each end user)"/>
    <hyperlink ref="A3629" location="'CDCM'!G3540" display="x13 = 3503. Reactive power charge p/kVArh scalable part (in Scalable elements of tariff components)"/>
    <hyperlink ref="A3630" location="'CDCM'!G1169" display="x14 = 2305. Reactive power units (MVArh) (in Equivalent volume for each end user)"/>
    <hyperlink ref="A3665" location="'CDCM'!C3505" display="x1 = 3402. Revenue shortfall (surplus) £ (in Revenue surplus or shortfall)"/>
    <hyperlink ref="A3666" location="'CDCM'!B3634" display="x2 = 3505. Effect through Unit rate 1 p/kWh (in Marginal revenue effect of scaler)"/>
    <hyperlink ref="A3667" location="'CDCM'!C3634" display="x3 = 3505. Effect through Unit rate 2 p/kWh (in Marginal revenue effect of scaler)"/>
    <hyperlink ref="A3668" location="'CDCM'!D3634" display="x4 = 3505. Effect through Unit rate 3 p/kWh (in Marginal revenue effect of scaler)"/>
    <hyperlink ref="A3669" location="'CDCM'!E3634" display="x5 = 3505. Effect through Fixed charge p/MPAN/day (in Marginal revenue effect of scaler)"/>
    <hyperlink ref="A3670" location="'CDCM'!F3634" display="x6 = 3505. Effect through Capacity charge p/kVA/day (in Marginal revenue effect of scaler)"/>
    <hyperlink ref="A3671" location="'CDCM'!G3634" display="x7 = 3505. Effect through Reactive power charge p/kVArh (in Marginal revenue effect of scaler)"/>
    <hyperlink ref="A3679" location="'CDCM'!B3674" display="x1 = 3506. Constraint-free solution"/>
    <hyperlink ref="A3680" location="'CDCM'!B3586" display="x2 = 3504. Scaler threshold for Unit rate 1 p/kWh (in Scaler value at which the minimum is breached)"/>
    <hyperlink ref="A3681" location="'CDCM'!C3586" display="x3 = 3504. Scaler threshold for Unit rate 2 p/kWh (in Scaler value at which the minimum is breached)"/>
    <hyperlink ref="A3682" location="'CDCM'!D3586" display="x4 = 3504. Scaler threshold for Unit rate 3 p/kWh (in Scaler value at which the minimum is breached)"/>
    <hyperlink ref="A3683" location="'CDCM'!E3586" display="x5 = 3504. Scaler threshold for Fixed charge p/MPAN/day (in Scaler value at which the minimum is breached)"/>
    <hyperlink ref="A3684" location="'CDCM'!F3586" display="x6 = 3504. Scaler threshold for Capacity charge p/kVA/day (in Scaler value at which the minimum is breached)"/>
    <hyperlink ref="A3685" location="'CDCM'!G3586" display="x7 = 3504. Scaler threshold for Reactive power charge p/kVArh (in Scaler value at which the minimum is breached)"/>
    <hyperlink ref="A3693" location="'CDCM'!B3688" display="x1 = 3507. Starting point"/>
    <hyperlink ref="A3694" location="'CDCM'!B3586" display="x2 = 3504. Scaler threshold for Unit rate 1 p/kWh (in Scaler value at which the minimum is breached)"/>
    <hyperlink ref="A3695" location="'CDCM'!C3586" display="x3 = 3504. Scaler threshold for Unit rate 2 p/kWh (in Scaler value at which the minimum is breached)"/>
    <hyperlink ref="A3696" location="'CDCM'!D3586" display="x4 = 3504. Scaler threshold for Unit rate 3 p/kWh (in Scaler value at which the minimum is breached)"/>
    <hyperlink ref="A3697" location="'CDCM'!E3586" display="x5 = 3504. Scaler threshold for Fixed charge p/MPAN/day (in Scaler value at which the minimum is breached)"/>
    <hyperlink ref="A3698" location="'CDCM'!F3586" display="x6 = 3504. Scaler threshold for Capacity charge p/kVA/day (in Scaler value at which the minimum is breached)"/>
    <hyperlink ref="A3699" location="'CDCM'!G3586" display="x7 = 3504. Scaler threshold for Reactive power charge p/kVArh (in Scaler value at which the minimum is breached)"/>
    <hyperlink ref="A3700" location="'CDCM'!B3634" display="x8 = 3505. Effect through Unit rate 1 p/kWh (in Marginal revenue effect of scaler)"/>
    <hyperlink ref="A3701" location="'CDCM'!C3634" display="x9 = 3505. Effect through Unit rate 2 p/kWh (in Marginal revenue effect of scaler)"/>
    <hyperlink ref="A3702" location="'CDCM'!D3634" display="x10 = 3505. Effect through Unit rate 3 p/kWh (in Marginal revenue effect of scaler)"/>
    <hyperlink ref="A3703" location="'CDCM'!E3634" display="x11 = 3505. Effect through Fixed charge p/MPAN/day (in Marginal revenue effect of scaler)"/>
    <hyperlink ref="A3704" location="'CDCM'!F3634" display="x12 = 3505. Effect through Capacity charge p/kVA/day (in Marginal revenue effect of scaler)"/>
    <hyperlink ref="A3705" location="'CDCM'!G3634" display="x13 = 3505. Effect through Reactive power charge p/kVArh (in Marginal revenue effect of scaler)"/>
    <hyperlink ref="A3706" location="'CDCM'!B3723" display="x14 = Location (in Solve for General scaler rate)"/>
    <hyperlink ref="A3707" location="'CDCM'!C3723" display="x15 = Kink (in Solve for General scaler rate)"/>
    <hyperlink ref="A3708" location="'CDCM'!F3723" display="x16 = Ranking before tie break (in Solve for General scaler rate)"/>
    <hyperlink ref="A3709" location="'CDCM'!G3723" display="x17 = Counter (in Solve for General scaler rate)"/>
    <hyperlink ref="A3710" location="'CDCM'!H3723" display="x18 = Tie breaker (in Solve for General scaler rate)"/>
    <hyperlink ref="A3711" location="'CDCM'!I3723" display="x19 = Ranking (in Solve for General scaler rate)"/>
    <hyperlink ref="A3712" location="'CDCM'!J3723" display="x20 = Kink reordering (in Solve for General scaler rate)"/>
    <hyperlink ref="A3713" location="'CDCM'!D3723" display="x21 = Starting slope contributions (in Solve for General scaler rate)"/>
    <hyperlink ref="A3714" location="'CDCM'!L3723" display="x22 = New slope (in Solve for General scaler rate)"/>
    <hyperlink ref="A3715" location="'CDCM'!K3723" display="x23 = Location (ordered) (in Solve for General scaler rate)"/>
    <hyperlink ref="A3716" location="'CDCM'!E3723" display="x24 = Starting values (in Solve for General scaler rate)"/>
    <hyperlink ref="A3717" location="'CDCM'!C3505" display="x25 = 3402. Revenue shortfall (surplus) £ (in Revenue surplus or shortfall)"/>
    <hyperlink ref="A3718" location="'CDCM'!B3674" display="x26 = 3506. Constraint-free solution"/>
    <hyperlink ref="A3719" location="'CDCM'!M3723" display="x27 = Value (in Solve for General scaler rate)"/>
    <hyperlink ref="A3890" location="'CDCM'!N3723" display="x1 = 3508. Root (in Solve for General scaler rate)"/>
    <hyperlink ref="A3898" location="'CDCM'!B913" display="x1 = 2302. Load coefficient"/>
    <hyperlink ref="A3899" location="'CDCM'!B3540" display="x2 = 3503. Unit rate 1 p/kWh scalable part (in Scalable elements of tariff components)"/>
    <hyperlink ref="A3900" location="'CDCM'!B3893" display="x3 = 3509. General scaler rate"/>
    <hyperlink ref="A3901" location="'CDCM'!B3420" display="x4 = 3307. Unit rate 1 p/kWh (total) (in Summary of charges before revenue matching)"/>
    <hyperlink ref="A3902" location="'CDCM'!C3540" display="x5 = 3503. Unit rate 2 p/kWh scalable part (in Scalable elements of tariff components)"/>
    <hyperlink ref="A3903" location="'CDCM'!C3420" display="x6 = 3307. Unit rate 2 p/kWh (total) (in Summary of charges before revenue matching)"/>
    <hyperlink ref="A3904" location="'CDCM'!D3540" display="x7 = 3503. Unit rate 3 p/kWh scalable part (in Scalable elements of tariff components)"/>
    <hyperlink ref="A3905" location="'CDCM'!D3420" display="x8 = 3307. Unit rate 3 p/kWh (total) (in Summary of charges before revenue matching)"/>
    <hyperlink ref="A3906" location="'CDCM'!E3540" display="x9 = 3503. Fixed charge p/MPAN/day scalable part (in Scalable elements of tariff components)"/>
    <hyperlink ref="A3907" location="'CDCM'!E3420" display="x10 = 3307. Fixed charge p/MPAN/day (total) (in Summary of charges before revenue matching)"/>
    <hyperlink ref="A3908" location="'CDCM'!F3540" display="x11 = 3503. Capacity charge p/kVA/day scalable part (in Scalable elements of tariff components)"/>
    <hyperlink ref="A3909" location="'CDCM'!F3420" display="x12 = 3307. Capacity charge p/kVA/day (total) (in Summary of charges before revenue matching)"/>
    <hyperlink ref="A3910" location="'CDCM'!G3540" display="x13 = 3503. Reactive power charge p/kVArh scalable part (in Scalable elements of tariff components)"/>
    <hyperlink ref="A3911" location="'CDCM'!G3420" display="x14 = 3307. Reactive power charge p/kVArh (in Summary of charges before revenue matching)"/>
    <hyperlink ref="A3912" location="'CDCM'!F13" display="x15 = 1010. Days in the charging year (in Financial and general assumptions)"/>
    <hyperlink ref="A3913" location="'CDCM'!E3928" display="x16 = Fixed charge p/MPAN/day scaler (in Scaler)"/>
    <hyperlink ref="A3914" location="'CDCM'!E1169" display="x17 = 2305. MPANs (in Equivalent volume for each end user)"/>
    <hyperlink ref="A3915" location="'CDCM'!F3928" display="x18 = Capacity charge p/kVA/day scaler (in Scaler)"/>
    <hyperlink ref="A3916" location="'CDCM'!F1169" display="x19 = 2305. Import capacity (kVA) (in Equivalent volume for each end user)"/>
    <hyperlink ref="A3917" location="'CDCM'!B3928" display="x20 = Unit rate 1 p/kWh scaler (in Scaler)"/>
    <hyperlink ref="A3918" location="'CDCM'!B1169" display="x21 = 2305. Rate 1 units (MWh) (in Equivalent volume for each end user)"/>
    <hyperlink ref="A3919" location="'CDCM'!C3928" display="x22 = Unit rate 2 p/kWh scaler (in Scaler)"/>
    <hyperlink ref="A3920" location="'CDCM'!C1169" display="x23 = 2305. Rate 2 units (MWh) (in Equivalent volume for each end user)"/>
    <hyperlink ref="A3921" location="'CDCM'!D3928" display="x24 = Unit rate 3 p/kWh scaler (in Scaler)"/>
    <hyperlink ref="A3922" location="'CDCM'!D1169" display="x25 = 2305. Rate 3 units (MWh) (in Equivalent volume for each end user)"/>
    <hyperlink ref="A3923" location="'CDCM'!G3928" display="x26 = Reactive power charge p/kVArh scaler (in Scaler)"/>
    <hyperlink ref="A3924" location="'CDCM'!G1169" display="x27 = 2305. Reactive power units (MVArh) (in Equivalent volume for each end user)"/>
    <hyperlink ref="A3961" location="'CDCM'!B3420" display="x1 = 3307. Unit rate 1 p/kWh (total) (in Summary of charges before revenue matching)"/>
    <hyperlink ref="A3962" location="'CDCM'!B3928" display="x2 = 3510. Unit rate 1 p/kWh scaler (in Scaler)"/>
    <hyperlink ref="A3963" location="'CDCM'!C3420" display="x3 = 3307. Unit rate 2 p/kWh (total) (in Summary of charges before revenue matching)"/>
    <hyperlink ref="A3964" location="'CDCM'!C3928" display="x4 = 3510. Unit rate 2 p/kWh scaler (in Scaler)"/>
    <hyperlink ref="A3965" location="'CDCM'!D3420" display="x5 = 3307. Unit rate 3 p/kWh (total) (in Summary of charges before revenue matching)"/>
    <hyperlink ref="A3966" location="'CDCM'!D3928" display="x6 = 3510. Unit rate 3 p/kWh scaler (in Scaler)"/>
    <hyperlink ref="A3967" location="'CDCM'!E3420" display="x7 = 3307. Fixed charge p/MPAN/day (total) (in Summary of charges before revenue matching)"/>
    <hyperlink ref="A3968" location="'CDCM'!E3928" display="x8 = 3510. Fixed charge p/MPAN/day scaler (in Scaler)"/>
    <hyperlink ref="A3969" location="'CDCM'!F3420" display="x9 = 3307. Capacity charge p/kVA/day (total) (in Summary of charges before revenue matching)"/>
    <hyperlink ref="A3970" location="'CDCM'!F3928" display="x10 = 3510. Capacity charge p/kVA/day scaler (in Scaler)"/>
    <hyperlink ref="A3971" location="'CDCM'!G3420" display="x11 = 3307. Reactive power charge p/kVArh (in Summary of charges before revenue matching)"/>
    <hyperlink ref="A3972" location="'CDCM'!G3928" display="x12 = 3510. Reactive power charge p/kVArh scaler (in Scaler)"/>
    <hyperlink ref="A4012" location="'CDCM'!B3976" display="x1 = 3601. Unit rate 1 p/kWh before rounding (in Tariffs before rounding)"/>
    <hyperlink ref="A4013" location="'CDCM'!B4007" display="x2 = 3602. Unit rate 1 p/kWh decimal places (in Decimal places)"/>
    <hyperlink ref="A4014" location="'CDCM'!C3976" display="x3 = 3601. Unit rate 2 p/kWh before rounding (in Tariffs before rounding)"/>
    <hyperlink ref="A4015" location="'CDCM'!C4007" display="x4 = 3602. Unit rate 2 p/kWh decimal places (in Decimal places)"/>
    <hyperlink ref="A4016" location="'CDCM'!D3976" display="x5 = 3601. Unit rate 3 p/kWh before rounding (in Tariffs before rounding)"/>
    <hyperlink ref="A4017" location="'CDCM'!D4007" display="x6 = 3602. Unit rate 3 p/kWh decimal places (in Decimal places)"/>
    <hyperlink ref="A4018" location="'CDCM'!E3976" display="x7 = 3601. Fixed charge p/MPAN/day before rounding (in Tariffs before rounding)"/>
    <hyperlink ref="A4019" location="'CDCM'!E4007" display="x8 = 3602. Fixed charge p/MPAN/day decimal places (in Decimal places)"/>
    <hyperlink ref="A4020" location="'CDCM'!F3976" display="x9 = 3601. Capacity charge p/kVA/day before rounding (in Tariffs before rounding)"/>
    <hyperlink ref="A4021" location="'CDCM'!F4007" display="x10 = 3602. Capacity charge p/kVA/day decimal places (in Decimal places)"/>
    <hyperlink ref="A4022" location="'CDCM'!G3976" display="x11 = 3601. Reactive power charge p/kVArh before rounding (in Tariffs before rounding)"/>
    <hyperlink ref="A4023" location="'CDCM'!G4007" display="x12 = 3602. Reactive power charge p/kVArh decimal places (in Decimal places)"/>
    <hyperlink ref="A4058" location="'CDCM'!B3976" display="x1 = 3601. Unit rate 1 p/kWh before rounding (in Tariffs before rounding)"/>
    <hyperlink ref="A4059" location="'CDCM'!B4027" display="x2 = 3603. Unit rate 1 p/kWh rounding (in Tariff rounding)"/>
    <hyperlink ref="A4060" location="'CDCM'!C3976" display="x3 = 3601. Unit rate 2 p/kWh before rounding (in Tariffs before rounding)"/>
    <hyperlink ref="A4061" location="'CDCM'!C4027" display="x4 = 3603. Unit rate 2 p/kWh rounding (in Tariff rounding)"/>
    <hyperlink ref="A4062" location="'CDCM'!D3976" display="x5 = 3601. Unit rate 3 p/kWh before rounding (in Tariffs before rounding)"/>
    <hyperlink ref="A4063" location="'CDCM'!D4027" display="x6 = 3603. Unit rate 3 p/kWh rounding (in Tariff rounding)"/>
    <hyperlink ref="A4064" location="'CDCM'!E3976" display="x7 = 3601. Fixed charge p/MPAN/day before rounding (in Tariffs before rounding)"/>
    <hyperlink ref="A4065" location="'CDCM'!E4027" display="x8 = 3603. Fixed charge p/MPAN/day rounding (in Tariff rounding)"/>
    <hyperlink ref="A4066" location="'CDCM'!F3976" display="x9 = 3601. Capacity charge p/kVA/day before rounding (in Tariffs before rounding)"/>
    <hyperlink ref="A4067" location="'CDCM'!F4027" display="x10 = 3603. Capacity charge p/kVA/day rounding (in Tariff rounding)"/>
    <hyperlink ref="A4068" location="'CDCM'!G3976" display="x11 = 3601. Reactive power charge p/kVArh before rounding (in Tariffs before rounding)"/>
    <hyperlink ref="A4069" location="'CDCM'!G4027" display="x12 = 3603. Reactive power charge p/kVArh rounding (in Tariff rounding)"/>
    <hyperlink ref="A4104" location="'CDCM'!F13" display="x1 = 1010. Days in the charging year (in Financial and general assumptions)"/>
    <hyperlink ref="A4105" location="'CDCM'!E4027" display="x2 = 3603. Fixed charge p/MPAN/day rounding (in Tariff rounding)"/>
    <hyperlink ref="A4106" location="'CDCM'!E1169" display="x3 = 2305. MPANs (in Equivalent volume for each end user)"/>
    <hyperlink ref="A4107" location="'CDCM'!F4027" display="x4 = 3603. Capacity charge p/kVA/day rounding (in Tariff rounding)"/>
    <hyperlink ref="A4108" location="'CDCM'!F1169" display="x5 = 2305. Import capacity (kVA) (in Equivalent volume for each end user)"/>
    <hyperlink ref="A4109" location="'CDCM'!B4027" display="x6 = 3603. Unit rate 1 p/kWh rounding (in Tariff rounding)"/>
    <hyperlink ref="A4110" location="'CDCM'!B1169" display="x7 = 2305. Rate 1 units (MWh) (in Equivalent volume for each end user)"/>
    <hyperlink ref="A4111" location="'CDCM'!C4027" display="x8 = 3603. Unit rate 2 p/kWh rounding (in Tariff rounding)"/>
    <hyperlink ref="A4112" location="'CDCM'!C1169" display="x9 = 2305. Rate 2 units (MWh) (in Equivalent volume for each end user)"/>
    <hyperlink ref="A4113" location="'CDCM'!D4027" display="x10 = 3603. Unit rate 3 p/kWh rounding (in Tariff rounding)"/>
    <hyperlink ref="A4114" location="'CDCM'!D1169" display="x11 = 2305. Rate 3 units (MWh) (in Equivalent volume for each end user)"/>
    <hyperlink ref="A4115" location="'CDCM'!G4027" display="x12 = 3603. Reactive power charge p/kVArh rounding (in Tariff rounding)"/>
    <hyperlink ref="A4116" location="'CDCM'!G1169" display="x13 = 2305. Reactive power units (MVArh) (in Equivalent volume for each end user)"/>
    <hyperlink ref="A4150" location="'CDCM'!B3505" display="x1 = 3402. Total net revenues before matching (£) (in Revenue surplus or shortfall)"/>
    <hyperlink ref="A4151" location="'CDCM'!H3928" display="x2 = 3510. Net revenues by tariff from scaler (in Scaler)"/>
    <hyperlink ref="A4152" location="'CDCM'!B4119" display="x3 = 3605. Net revenues by tariff from rounding"/>
    <hyperlink ref="A4153" location="'CDCM'!B4161" display="x4 = Total net revenues before matching (£) (in Revenue forecast summary)"/>
    <hyperlink ref="A4154" location="'CDCM'!C4161" display="x5 = Total net revenues from scaler (£) (in Revenue forecast summary)"/>
    <hyperlink ref="A4155" location="'CDCM'!D4161" display="x6 = Total net revenues from rounding (£) (in Revenue forecast summary)"/>
    <hyperlink ref="A4156" location="'CDCM'!E4161" display="x7 = Total net revenues (£) (in Revenue forecast summary)"/>
    <hyperlink ref="A4157" location="'CDCM'!B324" display="x8 = 1076. Target CDCM net revenue (£/year)"/>
    <hyperlink ref="A4166" location="'CDCM'!B4073" display="x1 = 3604. Unit rate 1 p/kWh (in All the way tariffs)"/>
    <hyperlink ref="A4167" location="'CDCM'!B1059" display="x2 = 2304. Discount for each tariff (except for fixed charges) (in LDNO discounts and volumes adjusted for discount)"/>
    <hyperlink ref="A4168" location="'CDCM'!C4073" display="x3 = 3604. Unit rate 2 p/kWh (in All the way tariffs)"/>
    <hyperlink ref="A4169" location="'CDCM'!D4073" display="x4 = 3604. Unit rate 3 p/kWh (in All the way tariffs)"/>
    <hyperlink ref="A4170" location="'CDCM'!E4073" display="x5 = 3604. Fixed charge p/MPAN/day (in All the way tariffs)"/>
    <hyperlink ref="A4171" location="'CDCM'!C1059" display="x6 = 2304. Discount for each tariff for fixed charges only (in LDNO discounts and volumes adjusted for discount)"/>
    <hyperlink ref="A4172" location="'CDCM'!F4073" display="x7 = 3604. Capacity charge p/kVA/day (in All the way tariffs)"/>
    <hyperlink ref="A4173" location="'CDCM'!G4073" display="x8 = 3604. Reactive power charge p/kVArh (in All the way tariffs)"/>
  </hyperlinks>
  <pageMargins left="0.7" right="0.7" top="0.75" bottom="0.75" header="0.3" footer="0.3"/>
  <pageSetup paperSize="9" fitToHeight="0" orientation="landscape"/>
  <headerFooter>
    <oddHeader>&amp;L&amp;A&amp;C&amp;R&amp;P of &amp;N</oddHeader>
    <oddFooter>&amp;F</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indexed="41"/>
  </sheetPr>
  <dimension ref="B3:B15"/>
  <sheetViews>
    <sheetView showGridLines="0" workbookViewId="0"/>
  </sheetViews>
  <sheetFormatPr defaultColWidth="8.85546875" defaultRowHeight="12.75"/>
  <cols>
    <col min="1" max="1" width="8.85546875" style="43"/>
    <col min="2" max="2" width="70.85546875" style="43" customWidth="1"/>
    <col min="3" max="16384" width="8.85546875" style="43"/>
  </cols>
  <sheetData>
    <row r="3" spans="2:2" ht="20.25">
      <c r="B3" s="47" t="str">
        <f>'CDCM Forecast Data'!E3</f>
        <v>WPD South Wales</v>
      </c>
    </row>
    <row r="6" spans="2:2">
      <c r="B6" s="44"/>
    </row>
    <row r="7" spans="2:2">
      <c r="B7" s="46"/>
    </row>
    <row r="8" spans="2:2">
      <c r="B8" s="44"/>
    </row>
    <row r="9" spans="2:2">
      <c r="B9" s="45"/>
    </row>
    <row r="10" spans="2:2">
      <c r="B10" s="44"/>
    </row>
    <row r="15" spans="2:2">
      <c r="B15" s="44"/>
    </row>
  </sheetData>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indexed="41"/>
    <pageSetUpPr fitToPage="1"/>
  </sheetPr>
  <dimension ref="A1:J271"/>
  <sheetViews>
    <sheetView showGridLines="0" topLeftCell="B1" workbookViewId="0">
      <selection activeCell="E6" sqref="E6"/>
    </sheetView>
  </sheetViews>
  <sheetFormatPr defaultColWidth="8.85546875" defaultRowHeight="12.75"/>
  <cols>
    <col min="1" max="1" width="4.140625" style="95" bestFit="1" customWidth="1"/>
    <col min="2" max="2" width="82.7109375" style="95" customWidth="1"/>
    <col min="3" max="9" width="16" style="97" customWidth="1"/>
    <col min="10" max="10" width="73.42578125" style="96" bestFit="1" customWidth="1"/>
    <col min="11" max="16384" width="8.85546875" style="95"/>
  </cols>
  <sheetData>
    <row r="1" spans="1:10">
      <c r="C1" s="95"/>
      <c r="D1" s="95"/>
      <c r="E1" s="95"/>
      <c r="F1" s="95"/>
      <c r="G1" s="95"/>
      <c r="H1" s="95"/>
      <c r="I1" s="95"/>
    </row>
    <row r="2" spans="1:10">
      <c r="C2" s="95"/>
      <c r="D2" s="95"/>
      <c r="E2" s="95"/>
      <c r="F2" s="95"/>
      <c r="G2" s="95"/>
      <c r="H2" s="95"/>
      <c r="I2" s="95"/>
    </row>
    <row r="3" spans="1:10" ht="15.75">
      <c r="C3" s="95"/>
      <c r="D3" s="146" t="s">
        <v>1382</v>
      </c>
      <c r="E3" s="316" t="s">
        <v>1866</v>
      </c>
      <c r="F3" s="316"/>
      <c r="G3" s="95"/>
      <c r="H3" s="95"/>
      <c r="I3" s="95"/>
    </row>
    <row r="4" spans="1:10" ht="15.75">
      <c r="C4" s="95"/>
      <c r="D4" s="146" t="s">
        <v>1381</v>
      </c>
      <c r="E4" s="317">
        <v>42004</v>
      </c>
      <c r="F4" s="317"/>
      <c r="G4" s="95"/>
      <c r="H4" s="95"/>
      <c r="I4" s="95"/>
    </row>
    <row r="5" spans="1:10" ht="15.75">
      <c r="C5" s="95"/>
      <c r="D5" s="146" t="s">
        <v>1496</v>
      </c>
      <c r="E5" s="317" t="s">
        <v>1867</v>
      </c>
      <c r="F5" s="317"/>
      <c r="G5" s="95"/>
      <c r="H5" s="95"/>
      <c r="I5" s="95"/>
    </row>
    <row r="6" spans="1:10">
      <c r="C6" s="95"/>
      <c r="D6" s="95"/>
      <c r="E6" s="95"/>
      <c r="F6" s="95"/>
      <c r="G6" s="95"/>
      <c r="H6" s="95"/>
      <c r="I6" s="95"/>
    </row>
    <row r="8" spans="1:10" ht="18.75">
      <c r="B8" s="145"/>
      <c r="C8" s="95"/>
      <c r="D8" s="95"/>
      <c r="E8" s="95"/>
      <c r="F8" s="95"/>
      <c r="G8" s="95"/>
      <c r="H8" s="95"/>
      <c r="I8" s="95"/>
    </row>
    <row r="9" spans="1:10" ht="25.5">
      <c r="B9" s="135"/>
      <c r="C9" s="318" t="s">
        <v>1495</v>
      </c>
      <c r="D9" s="318"/>
      <c r="E9" s="136" t="str">
        <f>"CDCM Values - "&amp;E5</f>
        <v>CDCM Values - DCP179</v>
      </c>
      <c r="F9" s="318" t="s">
        <v>1494</v>
      </c>
      <c r="G9" s="318"/>
      <c r="H9" s="318"/>
      <c r="I9" s="318"/>
    </row>
    <row r="10" spans="1:10">
      <c r="B10" s="144" t="s">
        <v>1493</v>
      </c>
      <c r="C10" s="143" t="s">
        <v>1492</v>
      </c>
      <c r="D10" s="143" t="s">
        <v>1491</v>
      </c>
      <c r="E10" s="143" t="s">
        <v>1490</v>
      </c>
      <c r="F10" s="143" t="s">
        <v>1489</v>
      </c>
      <c r="G10" s="143" t="s">
        <v>1488</v>
      </c>
      <c r="H10" s="143" t="s">
        <v>1487</v>
      </c>
      <c r="I10" s="143" t="s">
        <v>1486</v>
      </c>
    </row>
    <row r="11" spans="1:10" s="135" customFormat="1" ht="62.25" customHeight="1">
      <c r="B11" s="142" t="s">
        <v>1485</v>
      </c>
      <c r="C11" s="141" t="s">
        <v>1482</v>
      </c>
      <c r="D11" s="141" t="s">
        <v>1481</v>
      </c>
      <c r="E11" s="141" t="s">
        <v>1480</v>
      </c>
      <c r="F11" s="141" t="s">
        <v>1479</v>
      </c>
      <c r="G11" s="141" t="s">
        <v>1478</v>
      </c>
      <c r="H11" s="141" t="s">
        <v>1850</v>
      </c>
      <c r="I11" s="141" t="s">
        <v>1851</v>
      </c>
      <c r="J11" s="140"/>
    </row>
    <row r="12" spans="1:10" s="128" customFormat="1" ht="12.75" customHeight="1">
      <c r="A12" s="135"/>
      <c r="B12" s="139" t="s">
        <v>1477</v>
      </c>
      <c r="C12" s="138" t="s">
        <v>1476</v>
      </c>
      <c r="D12" s="138" t="s">
        <v>1476</v>
      </c>
      <c r="E12" s="137" t="s">
        <v>1475</v>
      </c>
      <c r="F12" s="137" t="s">
        <v>1475</v>
      </c>
      <c r="G12" s="137" t="s">
        <v>1475</v>
      </c>
      <c r="H12" s="137" t="s">
        <v>1475</v>
      </c>
      <c r="I12" s="137" t="s">
        <v>1475</v>
      </c>
      <c r="J12" s="136" t="s">
        <v>1440</v>
      </c>
    </row>
    <row r="13" spans="1:10" s="128" customFormat="1" ht="33.75" customHeight="1">
      <c r="A13" s="135"/>
      <c r="B13" s="134" t="s">
        <v>1474</v>
      </c>
      <c r="C13" s="133"/>
      <c r="D13" s="132"/>
      <c r="E13" s="131"/>
      <c r="F13" s="130">
        <f>'Table 1'!G9/'Table 1'!F9-1</f>
        <v>3.2347504621071943E-2</v>
      </c>
      <c r="G13" s="130">
        <f>'Table 1'!H9/'Table 1'!G9-1</f>
        <v>3.2229185317815601E-2</v>
      </c>
      <c r="H13" s="130">
        <f>'Table 1'!I9/'Table 1'!H9-1</f>
        <v>3.0000000000000027E-2</v>
      </c>
      <c r="I13" s="130">
        <f>'Table 1'!J9/'Table 1'!I9-1</f>
        <v>3.0000000000000027E-2</v>
      </c>
      <c r="J13" s="129"/>
    </row>
    <row r="14" spans="1:10">
      <c r="A14" s="95">
        <v>1</v>
      </c>
      <c r="B14" s="100" t="s">
        <v>1473</v>
      </c>
      <c r="C14" s="99"/>
      <c r="D14" s="99"/>
      <c r="E14" s="99"/>
      <c r="F14" s="99"/>
      <c r="G14" s="99"/>
      <c r="H14" s="99"/>
      <c r="I14" s="99"/>
      <c r="J14" s="98"/>
    </row>
    <row r="15" spans="1:10">
      <c r="A15" s="95">
        <v>2</v>
      </c>
      <c r="B15" s="122" t="s">
        <v>1</v>
      </c>
      <c r="C15" s="121"/>
      <c r="D15" s="121"/>
      <c r="E15" s="121"/>
      <c r="F15" s="121"/>
      <c r="G15" s="121"/>
      <c r="H15" s="121"/>
      <c r="I15" s="121"/>
      <c r="J15" s="101"/>
    </row>
    <row r="16" spans="1:10">
      <c r="A16" s="95">
        <v>3</v>
      </c>
      <c r="B16" s="122" t="s">
        <v>2</v>
      </c>
      <c r="C16" s="127"/>
      <c r="D16" s="127"/>
      <c r="E16" s="127"/>
      <c r="F16" s="127"/>
      <c r="G16" s="127"/>
      <c r="H16" s="127"/>
      <c r="I16" s="127"/>
      <c r="J16" s="126"/>
    </row>
    <row r="17" spans="1:10">
      <c r="A17" s="95">
        <v>4</v>
      </c>
      <c r="B17" s="122" t="s">
        <v>3</v>
      </c>
      <c r="C17" s="124"/>
      <c r="D17" s="124"/>
      <c r="E17" s="125"/>
      <c r="F17" s="124"/>
      <c r="G17" s="124"/>
      <c r="H17" s="124"/>
      <c r="I17" s="124"/>
      <c r="J17" s="101"/>
    </row>
    <row r="18" spans="1:10">
      <c r="A18" s="95">
        <v>5</v>
      </c>
      <c r="B18" s="100" t="s">
        <v>1472</v>
      </c>
      <c r="C18" s="99"/>
      <c r="D18" s="99"/>
      <c r="E18" s="99"/>
      <c r="F18" s="99"/>
      <c r="G18" s="99"/>
      <c r="H18" s="99"/>
      <c r="I18" s="99"/>
      <c r="J18" s="98"/>
    </row>
    <row r="19" spans="1:10" ht="12.75" customHeight="1">
      <c r="A19" s="95">
        <v>6</v>
      </c>
      <c r="B19" s="104" t="s">
        <v>48</v>
      </c>
      <c r="C19" s="108">
        <v>5.6000000000000001E-2</v>
      </c>
      <c r="D19" s="108">
        <v>5.6000000000000001E-2</v>
      </c>
      <c r="E19" s="108">
        <v>5.6000000000000001E-2</v>
      </c>
      <c r="F19" s="108">
        <v>5.6000000000000001E-2</v>
      </c>
      <c r="G19" s="108">
        <v>5.6000000000000001E-2</v>
      </c>
      <c r="H19" s="108">
        <v>5.6000000000000001E-2</v>
      </c>
      <c r="I19" s="108">
        <v>5.6000000000000001E-2</v>
      </c>
      <c r="J19" s="123"/>
    </row>
    <row r="20" spans="1:10">
      <c r="A20" s="95">
        <v>7</v>
      </c>
      <c r="B20" s="104" t="s">
        <v>49</v>
      </c>
      <c r="C20" s="119">
        <v>40</v>
      </c>
      <c r="D20" s="119">
        <v>40</v>
      </c>
      <c r="E20" s="119">
        <v>40</v>
      </c>
      <c r="F20" s="119">
        <v>40</v>
      </c>
      <c r="G20" s="119">
        <v>40</v>
      </c>
      <c r="H20" s="119">
        <v>40</v>
      </c>
      <c r="I20" s="119">
        <v>40</v>
      </c>
      <c r="J20" s="101"/>
    </row>
    <row r="21" spans="1:10">
      <c r="A21" s="95">
        <v>8</v>
      </c>
      <c r="B21" s="104" t="s">
        <v>51</v>
      </c>
      <c r="C21" s="121">
        <v>0.95</v>
      </c>
      <c r="D21" s="121">
        <v>0.95</v>
      </c>
      <c r="E21" s="121">
        <v>0.95</v>
      </c>
      <c r="F21" s="121">
        <v>0.95</v>
      </c>
      <c r="G21" s="121">
        <v>0.95</v>
      </c>
      <c r="H21" s="121">
        <v>0.95</v>
      </c>
      <c r="I21" s="121">
        <v>0.95</v>
      </c>
      <c r="J21" s="101"/>
    </row>
    <row r="22" spans="1:10">
      <c r="A22" s="95">
        <v>9</v>
      </c>
      <c r="B22" s="104" t="s">
        <v>1471</v>
      </c>
      <c r="C22" s="119">
        <v>365</v>
      </c>
      <c r="D22" s="119">
        <v>365</v>
      </c>
      <c r="E22" s="119">
        <v>366</v>
      </c>
      <c r="F22" s="119">
        <v>365</v>
      </c>
      <c r="G22" s="119">
        <v>365</v>
      </c>
      <c r="H22" s="119">
        <v>365</v>
      </c>
      <c r="I22" s="119">
        <v>366</v>
      </c>
      <c r="J22" s="101"/>
    </row>
    <row r="23" spans="1:10">
      <c r="A23" s="95">
        <v>10</v>
      </c>
      <c r="B23" s="100" t="s">
        <v>1470</v>
      </c>
      <c r="C23" s="99"/>
      <c r="D23" s="99"/>
      <c r="E23" s="99"/>
      <c r="F23" s="99"/>
      <c r="G23" s="99"/>
      <c r="H23" s="99"/>
      <c r="I23" s="99"/>
      <c r="J23" s="98"/>
    </row>
    <row r="24" spans="1:10" ht="15" customHeight="1">
      <c r="A24" s="95">
        <v>11</v>
      </c>
      <c r="B24" s="122" t="s">
        <v>60</v>
      </c>
      <c r="C24" s="121">
        <v>6.3829787234042507E-2</v>
      </c>
      <c r="D24" s="121">
        <v>6.3829787234042507E-2</v>
      </c>
      <c r="E24" s="108">
        <v>6.3829787234042507E-2</v>
      </c>
      <c r="F24" s="108">
        <v>6.3829787234042507E-2</v>
      </c>
      <c r="G24" s="108">
        <v>6.3829787234042507E-2</v>
      </c>
      <c r="H24" s="108">
        <v>6.3829787234042507E-2</v>
      </c>
      <c r="I24" s="108">
        <v>6.3829787234042507E-2</v>
      </c>
      <c r="J24" s="101"/>
    </row>
    <row r="25" spans="1:10">
      <c r="A25" s="95">
        <v>12</v>
      </c>
      <c r="B25" s="122" t="s">
        <v>61</v>
      </c>
      <c r="C25" s="121">
        <v>5.2999999999999999E-2</v>
      </c>
      <c r="D25" s="121">
        <v>5.2999999999999999E-2</v>
      </c>
      <c r="E25" s="108">
        <v>5.2999999999999999E-2</v>
      </c>
      <c r="F25" s="108">
        <v>5.2999999999999999E-2</v>
      </c>
      <c r="G25" s="108">
        <v>5.2999999999999999E-2</v>
      </c>
      <c r="H25" s="108">
        <v>5.2999999999999999E-2</v>
      </c>
      <c r="I25" s="108">
        <v>5.2999999999999999E-2</v>
      </c>
      <c r="J25" s="101"/>
    </row>
    <row r="26" spans="1:10">
      <c r="A26" s="95">
        <v>13</v>
      </c>
      <c r="B26" s="122" t="s">
        <v>63</v>
      </c>
      <c r="C26" s="121">
        <v>9.9000000000000005E-2</v>
      </c>
      <c r="D26" s="121">
        <v>9.9000000000000005E-2</v>
      </c>
      <c r="E26" s="108">
        <v>9.9000000000000005E-2</v>
      </c>
      <c r="F26" s="108">
        <v>9.9000000000000005E-2</v>
      </c>
      <c r="G26" s="108">
        <v>9.9000000000000005E-2</v>
      </c>
      <c r="H26" s="108">
        <v>9.9000000000000005E-2</v>
      </c>
      <c r="I26" s="108">
        <v>9.9000000000000005E-2</v>
      </c>
      <c r="J26" s="101"/>
    </row>
    <row r="27" spans="1:10">
      <c r="A27" s="95">
        <v>14</v>
      </c>
      <c r="B27" s="122" t="s">
        <v>65</v>
      </c>
      <c r="C27" s="121">
        <v>0.37</v>
      </c>
      <c r="D27" s="121">
        <v>0.37</v>
      </c>
      <c r="E27" s="108">
        <v>0.37</v>
      </c>
      <c r="F27" s="108">
        <v>0.37</v>
      </c>
      <c r="G27" s="108">
        <v>0.37</v>
      </c>
      <c r="H27" s="108">
        <v>0.37</v>
      </c>
      <c r="I27" s="108">
        <v>0.37</v>
      </c>
      <c r="J27" s="101"/>
    </row>
    <row r="28" spans="1:10">
      <c r="A28" s="95">
        <v>15</v>
      </c>
      <c r="B28" s="100" t="s">
        <v>1469</v>
      </c>
      <c r="C28" s="121">
        <v>0.3</v>
      </c>
      <c r="D28" s="121">
        <v>0.3</v>
      </c>
      <c r="E28" s="108">
        <v>0.3</v>
      </c>
      <c r="F28" s="108">
        <v>0.3</v>
      </c>
      <c r="G28" s="108">
        <v>0.3</v>
      </c>
      <c r="H28" s="108">
        <v>0.3</v>
      </c>
      <c r="I28" s="108">
        <v>0.3</v>
      </c>
      <c r="J28" s="101"/>
    </row>
    <row r="29" spans="1:10">
      <c r="A29" s="95">
        <v>16</v>
      </c>
      <c r="B29" s="100" t="s">
        <v>1468</v>
      </c>
      <c r="C29" s="119">
        <v>500</v>
      </c>
      <c r="D29" s="119">
        <v>500</v>
      </c>
      <c r="E29" s="119">
        <v>500</v>
      </c>
      <c r="F29" s="119">
        <v>500</v>
      </c>
      <c r="G29" s="119">
        <v>500</v>
      </c>
      <c r="H29" s="119">
        <v>500</v>
      </c>
      <c r="I29" s="119">
        <v>500</v>
      </c>
      <c r="J29" s="101"/>
    </row>
    <row r="30" spans="1:10">
      <c r="A30" s="95">
        <v>17</v>
      </c>
      <c r="B30" s="110" t="s">
        <v>1467</v>
      </c>
      <c r="C30" s="99"/>
      <c r="D30" s="99"/>
      <c r="E30" s="99"/>
      <c r="F30" s="99"/>
      <c r="G30" s="99"/>
      <c r="H30" s="99"/>
      <c r="I30" s="99"/>
      <c r="J30" s="98"/>
    </row>
    <row r="31" spans="1:10" ht="12.75" customHeight="1">
      <c r="A31" s="95">
        <v>18</v>
      </c>
      <c r="B31" s="104" t="s">
        <v>61</v>
      </c>
      <c r="C31" s="106">
        <v>120672078.12908971</v>
      </c>
      <c r="D31" s="106">
        <v>123290662.22449097</v>
      </c>
      <c r="E31" s="105">
        <v>126742800.76677673</v>
      </c>
      <c r="F31" s="105">
        <v>129768341.39524062</v>
      </c>
      <c r="G31" s="105">
        <f t="shared" ref="G31:G38" si="0">F31*(1+G$13)</f>
        <v>133950669.31845339</v>
      </c>
      <c r="H31" s="105">
        <f t="shared" ref="H31:H38" si="1">G31*(1+H$13)</f>
        <v>137969189.39800701</v>
      </c>
      <c r="I31" s="105">
        <f t="shared" ref="I31:I38" si="2">H31*(1+I$13)</f>
        <v>142108265.07994723</v>
      </c>
      <c r="J31" s="101"/>
    </row>
    <row r="32" spans="1:10">
      <c r="A32" s="95">
        <v>19</v>
      </c>
      <c r="B32" s="104" t="s">
        <v>62</v>
      </c>
      <c r="C32" s="106">
        <v>11165890.34</v>
      </c>
      <c r="D32" s="106">
        <v>11408190.160378</v>
      </c>
      <c r="E32" s="105">
        <v>11727619.484868584</v>
      </c>
      <c r="F32" s="105">
        <v>11461874.6664</v>
      </c>
      <c r="G32" s="105">
        <f t="shared" si="0"/>
        <v>11831281.549112981</v>
      </c>
      <c r="H32" s="105">
        <f t="shared" si="1"/>
        <v>12186219.995586371</v>
      </c>
      <c r="I32" s="105">
        <f t="shared" si="2"/>
        <v>12551806.595453963</v>
      </c>
      <c r="J32" s="101"/>
    </row>
    <row r="33" spans="1:10">
      <c r="A33" s="95">
        <v>20</v>
      </c>
      <c r="B33" s="104" t="s">
        <v>63</v>
      </c>
      <c r="C33" s="106">
        <v>38870141.649999999</v>
      </c>
      <c r="D33" s="106">
        <v>39713623.723805003</v>
      </c>
      <c r="E33" s="105">
        <v>40825605.188071541</v>
      </c>
      <c r="F33" s="105">
        <v>34011588.189599998</v>
      </c>
      <c r="G33" s="105">
        <f t="shared" si="0"/>
        <v>35107753.968315847</v>
      </c>
      <c r="H33" s="105">
        <f t="shared" si="1"/>
        <v>36160986.587365322</v>
      </c>
      <c r="I33" s="105">
        <f t="shared" si="2"/>
        <v>37245816.184986286</v>
      </c>
      <c r="J33" s="101"/>
    </row>
    <row r="34" spans="1:10">
      <c r="A34" s="95">
        <v>21</v>
      </c>
      <c r="B34" s="104" t="s">
        <v>64</v>
      </c>
      <c r="C34" s="106">
        <v>26878757.780000001</v>
      </c>
      <c r="D34" s="106">
        <v>27462026.823826004</v>
      </c>
      <c r="E34" s="105">
        <v>28230963.574893132</v>
      </c>
      <c r="F34" s="105">
        <v>29589844.910879996</v>
      </c>
      <c r="G34" s="105">
        <f t="shared" si="0"/>
        <v>30543501.50603817</v>
      </c>
      <c r="H34" s="105">
        <f t="shared" si="1"/>
        <v>31459806.551219318</v>
      </c>
      <c r="I34" s="105">
        <f t="shared" si="2"/>
        <v>32403600.7477559</v>
      </c>
      <c r="J34" s="101"/>
    </row>
    <row r="35" spans="1:10">
      <c r="A35" s="95">
        <v>22</v>
      </c>
      <c r="B35" s="104" t="s">
        <v>69</v>
      </c>
      <c r="C35" s="106">
        <v>8647821.75</v>
      </c>
      <c r="D35" s="106">
        <v>8835479.4819750004</v>
      </c>
      <c r="E35" s="105">
        <v>9082872.9074703008</v>
      </c>
      <c r="F35" s="105">
        <v>9528375.2459999993</v>
      </c>
      <c r="G35" s="105">
        <f t="shared" si="0"/>
        <v>9835467.0175810196</v>
      </c>
      <c r="H35" s="105">
        <f t="shared" si="1"/>
        <v>10130531.02810845</v>
      </c>
      <c r="I35" s="105">
        <f t="shared" si="2"/>
        <v>10434446.958951704</v>
      </c>
      <c r="J35" s="101"/>
    </row>
    <row r="36" spans="1:10">
      <c r="A36" s="95">
        <v>23</v>
      </c>
      <c r="B36" s="104" t="s">
        <v>65</v>
      </c>
      <c r="C36" s="106">
        <v>152265739.53999999</v>
      </c>
      <c r="D36" s="106">
        <v>155569906.088018</v>
      </c>
      <c r="E36" s="105">
        <v>159925863.4584825</v>
      </c>
      <c r="F36" s="105">
        <v>142733572.458</v>
      </c>
      <c r="G36" s="105">
        <f t="shared" si="0"/>
        <v>147333759.21582276</v>
      </c>
      <c r="H36" s="105">
        <f t="shared" si="1"/>
        <v>151753771.99229744</v>
      </c>
      <c r="I36" s="105">
        <f t="shared" si="2"/>
        <v>156306385.15206638</v>
      </c>
      <c r="J36" s="101"/>
    </row>
    <row r="37" spans="1:10">
      <c r="A37" s="95">
        <v>24</v>
      </c>
      <c r="B37" s="104" t="s">
        <v>66</v>
      </c>
      <c r="C37" s="106">
        <v>53716079.419999994</v>
      </c>
      <c r="D37" s="106">
        <v>54881718.343413994</v>
      </c>
      <c r="E37" s="105">
        <v>56418406.457029589</v>
      </c>
      <c r="F37" s="105">
        <v>55142476.585199997</v>
      </c>
      <c r="G37" s="105">
        <f t="shared" si="0"/>
        <v>56919673.681947716</v>
      </c>
      <c r="H37" s="105">
        <f t="shared" si="1"/>
        <v>58627263.892406151</v>
      </c>
      <c r="I37" s="105">
        <f t="shared" si="2"/>
        <v>60386081.809178337</v>
      </c>
      <c r="J37" s="101"/>
    </row>
    <row r="38" spans="1:10">
      <c r="A38" s="95">
        <v>25</v>
      </c>
      <c r="B38" s="104" t="s">
        <v>67</v>
      </c>
      <c r="C38" s="106">
        <v>115202739.58800001</v>
      </c>
      <c r="D38" s="106">
        <v>117702639.03705962</v>
      </c>
      <c r="E38" s="105">
        <v>120998312.9300973</v>
      </c>
      <c r="F38" s="105">
        <v>113568500.262096</v>
      </c>
      <c r="G38" s="105">
        <f t="shared" si="0"/>
        <v>117228720.50330949</v>
      </c>
      <c r="H38" s="105">
        <f t="shared" si="1"/>
        <v>120745582.11840877</v>
      </c>
      <c r="I38" s="105">
        <f t="shared" si="2"/>
        <v>124367949.58196104</v>
      </c>
      <c r="J38" s="101"/>
    </row>
    <row r="39" spans="1:10">
      <c r="A39" s="95">
        <v>26</v>
      </c>
      <c r="B39" s="100" t="s">
        <v>1466</v>
      </c>
      <c r="C39" s="99"/>
      <c r="D39" s="99"/>
      <c r="E39" s="99"/>
      <c r="F39" s="99"/>
      <c r="G39" s="99"/>
      <c r="H39" s="99"/>
      <c r="I39" s="99"/>
      <c r="J39" s="98"/>
    </row>
    <row r="40" spans="1:10" ht="12.75" customHeight="1">
      <c r="A40" s="95">
        <v>27</v>
      </c>
      <c r="B40" s="104" t="s">
        <v>75</v>
      </c>
      <c r="C40" s="106">
        <v>4553.43</v>
      </c>
      <c r="D40" s="106">
        <v>4689.7766890000003</v>
      </c>
      <c r="E40" s="105">
        <v>4818.3125333333337</v>
      </c>
      <c r="F40" s="105">
        <v>5105.1767199999995</v>
      </c>
      <c r="G40" s="105">
        <f t="shared" ref="G40:I47" si="3">F40*(1+G$13)</f>
        <v>5269.7124065890775</v>
      </c>
      <c r="H40" s="105">
        <f t="shared" si="3"/>
        <v>5427.8037787867497</v>
      </c>
      <c r="I40" s="105">
        <f t="shared" si="3"/>
        <v>5590.6378921503519</v>
      </c>
      <c r="J40" s="101"/>
    </row>
    <row r="41" spans="1:10">
      <c r="A41" s="95">
        <v>28</v>
      </c>
      <c r="B41" s="104" t="s">
        <v>76</v>
      </c>
      <c r="C41" s="106">
        <v>543.47333333333347</v>
      </c>
      <c r="D41" s="106">
        <v>578.94375074999994</v>
      </c>
      <c r="E41" s="105">
        <v>588.84756666666658</v>
      </c>
      <c r="F41" s="105">
        <v>574.28134</v>
      </c>
      <c r="G41" s="105">
        <f t="shared" si="3"/>
        <v>592.78995973142344</v>
      </c>
      <c r="H41" s="105">
        <f t="shared" si="3"/>
        <v>610.57365852336613</v>
      </c>
      <c r="I41" s="105">
        <f t="shared" si="3"/>
        <v>628.89086827906715</v>
      </c>
      <c r="J41" s="101"/>
    </row>
    <row r="42" spans="1:10">
      <c r="A42" s="95">
        <v>29</v>
      </c>
      <c r="B42" s="104" t="s">
        <v>77</v>
      </c>
      <c r="C42" s="106">
        <v>618.97083333333342</v>
      </c>
      <c r="D42" s="106">
        <v>683.87489499999992</v>
      </c>
      <c r="E42" s="105">
        <v>688.35500833333322</v>
      </c>
      <c r="F42" s="105">
        <v>699.18343999999991</v>
      </c>
      <c r="G42" s="105">
        <f t="shared" si="3"/>
        <v>721.71755265890772</v>
      </c>
      <c r="H42" s="105">
        <f t="shared" si="3"/>
        <v>743.369079238675</v>
      </c>
      <c r="I42" s="105">
        <f t="shared" si="3"/>
        <v>765.67015161583527</v>
      </c>
      <c r="J42" s="101"/>
    </row>
    <row r="43" spans="1:10">
      <c r="A43" s="95">
        <v>30</v>
      </c>
      <c r="B43" s="104" t="s">
        <v>78</v>
      </c>
      <c r="C43" s="106">
        <v>471.89333333333332</v>
      </c>
      <c r="D43" s="106">
        <v>509.4741106666666</v>
      </c>
      <c r="E43" s="105">
        <v>508.31873333333323</v>
      </c>
      <c r="F43" s="105">
        <v>518.52839999999992</v>
      </c>
      <c r="G43" s="105">
        <f t="shared" si="3"/>
        <v>535.24014789615035</v>
      </c>
      <c r="H43" s="105">
        <f t="shared" si="3"/>
        <v>551.29735233303484</v>
      </c>
      <c r="I43" s="105">
        <f t="shared" si="3"/>
        <v>567.83627290302593</v>
      </c>
      <c r="J43" s="101"/>
    </row>
    <row r="44" spans="1:10">
      <c r="A44" s="95">
        <v>31</v>
      </c>
      <c r="B44" s="104" t="s">
        <v>79</v>
      </c>
      <c r="C44" s="106">
        <v>1214.7513333333334</v>
      </c>
      <c r="D44" s="106">
        <v>1169.0366324666666</v>
      </c>
      <c r="E44" s="105">
        <v>1179.9549533333334</v>
      </c>
      <c r="F44" s="105">
        <v>1178.730448</v>
      </c>
      <c r="G44" s="105">
        <f t="shared" si="3"/>
        <v>1216.7199700483438</v>
      </c>
      <c r="H44" s="105">
        <f t="shared" si="3"/>
        <v>1253.2215691497943</v>
      </c>
      <c r="I44" s="105">
        <f t="shared" si="3"/>
        <v>1290.8182162242881</v>
      </c>
      <c r="J44" s="101"/>
    </row>
    <row r="45" spans="1:10">
      <c r="A45" s="95">
        <v>32</v>
      </c>
      <c r="B45" s="104" t="s">
        <v>80</v>
      </c>
      <c r="C45" s="106">
        <v>877.82500000000005</v>
      </c>
      <c r="D45" s="106">
        <v>858.60347475000015</v>
      </c>
      <c r="E45" s="105">
        <v>892.5078749999999</v>
      </c>
      <c r="F45" s="105">
        <v>907.87362000000007</v>
      </c>
      <c r="G45" s="105">
        <f t="shared" si="3"/>
        <v>937.13364714413615</v>
      </c>
      <c r="H45" s="105">
        <f t="shared" si="3"/>
        <v>965.24765655846022</v>
      </c>
      <c r="I45" s="105">
        <f t="shared" si="3"/>
        <v>994.20508625521404</v>
      </c>
      <c r="J45" s="101"/>
    </row>
    <row r="46" spans="1:10">
      <c r="A46" s="95">
        <v>33</v>
      </c>
      <c r="B46" s="104" t="s">
        <v>81</v>
      </c>
      <c r="C46" s="106">
        <v>0</v>
      </c>
      <c r="D46" s="106">
        <v>0</v>
      </c>
      <c r="E46" s="106">
        <v>0</v>
      </c>
      <c r="F46" s="106">
        <v>0</v>
      </c>
      <c r="G46" s="105">
        <f t="shared" si="3"/>
        <v>0</v>
      </c>
      <c r="H46" s="105">
        <f t="shared" si="3"/>
        <v>0</v>
      </c>
      <c r="I46" s="105">
        <f t="shared" si="3"/>
        <v>0</v>
      </c>
      <c r="J46" s="101"/>
    </row>
    <row r="47" spans="1:10">
      <c r="A47" s="95">
        <v>34</v>
      </c>
      <c r="B47" s="104" t="s">
        <v>82</v>
      </c>
      <c r="C47" s="106">
        <v>512.1</v>
      </c>
      <c r="D47" s="106">
        <v>450.31427500000001</v>
      </c>
      <c r="E47" s="106">
        <v>468.81480000000005</v>
      </c>
      <c r="F47" s="106">
        <v>474.82320000000004</v>
      </c>
      <c r="G47" s="105">
        <f t="shared" si="3"/>
        <v>490.12636490599829</v>
      </c>
      <c r="H47" s="105">
        <f t="shared" si="3"/>
        <v>504.83015585317827</v>
      </c>
      <c r="I47" s="105">
        <f t="shared" si="3"/>
        <v>519.97506052877361</v>
      </c>
      <c r="J47" s="101"/>
    </row>
    <row r="48" spans="1:10">
      <c r="A48" s="95">
        <v>35</v>
      </c>
      <c r="B48" s="100" t="s">
        <v>1465</v>
      </c>
      <c r="C48" s="99"/>
      <c r="D48" s="99"/>
      <c r="E48" s="99"/>
      <c r="F48" s="99"/>
      <c r="G48" s="99"/>
      <c r="H48" s="99"/>
      <c r="I48" s="99"/>
      <c r="J48" s="98"/>
    </row>
    <row r="49" spans="1:10" ht="12.75" customHeight="1">
      <c r="A49" s="95">
        <v>36</v>
      </c>
      <c r="B49" s="104" t="s">
        <v>85</v>
      </c>
      <c r="C49" s="119">
        <v>9790.1940000000013</v>
      </c>
      <c r="D49" s="119">
        <v>8748.3777690000006</v>
      </c>
      <c r="E49" s="120">
        <v>8971.2505600000022</v>
      </c>
      <c r="F49" s="120">
        <v>9007.1597759999986</v>
      </c>
      <c r="G49" s="105">
        <f t="shared" ref="G49:I53" si="4">F49*(1+G$13)</f>
        <v>9297.4531976078779</v>
      </c>
      <c r="H49" s="105">
        <f t="shared" si="4"/>
        <v>9576.3767935361138</v>
      </c>
      <c r="I49" s="105">
        <f t="shared" si="4"/>
        <v>9863.6680973421971</v>
      </c>
      <c r="J49" s="101"/>
    </row>
    <row r="50" spans="1:10">
      <c r="A50" s="95">
        <v>37</v>
      </c>
      <c r="B50" s="104" t="s">
        <v>86</v>
      </c>
      <c r="C50" s="119">
        <v>4208</v>
      </c>
      <c r="D50" s="119">
        <v>4299.3136000000004</v>
      </c>
      <c r="E50" s="120">
        <v>4334.24</v>
      </c>
      <c r="F50" s="120">
        <v>4342.6559999999999</v>
      </c>
      <c r="G50" s="105">
        <f t="shared" si="4"/>
        <v>4482.616264995524</v>
      </c>
      <c r="H50" s="105">
        <f t="shared" si="4"/>
        <v>4617.0947529453897</v>
      </c>
      <c r="I50" s="105">
        <f t="shared" si="4"/>
        <v>4755.6075955337519</v>
      </c>
      <c r="J50" s="101"/>
    </row>
    <row r="51" spans="1:10">
      <c r="A51" s="95">
        <v>38</v>
      </c>
      <c r="B51" s="104" t="s">
        <v>87</v>
      </c>
      <c r="C51" s="119"/>
      <c r="D51" s="119"/>
      <c r="E51" s="119"/>
      <c r="F51" s="119"/>
      <c r="G51" s="105">
        <f t="shared" si="4"/>
        <v>0</v>
      </c>
      <c r="H51" s="105">
        <f t="shared" si="4"/>
        <v>0</v>
      </c>
      <c r="I51" s="105">
        <f t="shared" si="4"/>
        <v>0</v>
      </c>
      <c r="J51" s="101"/>
    </row>
    <row r="52" spans="1:10">
      <c r="A52" s="95">
        <v>39</v>
      </c>
      <c r="B52" s="104" t="s">
        <v>88</v>
      </c>
      <c r="C52" s="119"/>
      <c r="D52" s="119"/>
      <c r="E52" s="119"/>
      <c r="F52" s="119"/>
      <c r="G52" s="105">
        <f t="shared" si="4"/>
        <v>0</v>
      </c>
      <c r="H52" s="105">
        <f t="shared" si="4"/>
        <v>0</v>
      </c>
      <c r="I52" s="105">
        <f t="shared" si="4"/>
        <v>0</v>
      </c>
      <c r="J52" s="101"/>
    </row>
    <row r="53" spans="1:10">
      <c r="A53" s="95">
        <v>40</v>
      </c>
      <c r="B53" s="104" t="s">
        <v>89</v>
      </c>
      <c r="C53" s="119"/>
      <c r="D53" s="119"/>
      <c r="E53" s="119"/>
      <c r="F53" s="119"/>
      <c r="G53" s="105">
        <f t="shared" si="4"/>
        <v>0</v>
      </c>
      <c r="H53" s="105">
        <f t="shared" si="4"/>
        <v>0</v>
      </c>
      <c r="I53" s="105">
        <f t="shared" si="4"/>
        <v>0</v>
      </c>
      <c r="J53" s="101"/>
    </row>
    <row r="54" spans="1:10" ht="12.75" customHeight="1">
      <c r="A54" s="95">
        <v>41</v>
      </c>
      <c r="B54" s="100" t="s">
        <v>1464</v>
      </c>
      <c r="C54" s="99"/>
      <c r="D54" s="99"/>
      <c r="E54" s="99"/>
      <c r="F54" s="99"/>
      <c r="G54" s="99"/>
      <c r="H54" s="99"/>
      <c r="I54" s="99"/>
      <c r="J54" s="98"/>
    </row>
    <row r="55" spans="1:10">
      <c r="A55" s="95">
        <v>42</v>
      </c>
      <c r="B55" s="100" t="s">
        <v>1463</v>
      </c>
      <c r="C55" s="99"/>
      <c r="D55" s="99"/>
      <c r="E55" s="99"/>
      <c r="F55" s="99"/>
      <c r="G55" s="99"/>
      <c r="H55" s="99"/>
      <c r="I55" s="99"/>
      <c r="J55" s="98"/>
    </row>
    <row r="56" spans="1:10">
      <c r="A56" s="95">
        <v>43</v>
      </c>
      <c r="B56" s="100" t="s">
        <v>1462</v>
      </c>
      <c r="C56" s="99"/>
      <c r="D56" s="99"/>
      <c r="E56" s="99"/>
      <c r="F56" s="99"/>
      <c r="G56" s="99"/>
      <c r="H56" s="99"/>
      <c r="I56" s="99"/>
      <c r="J56" s="98"/>
    </row>
    <row r="57" spans="1:10">
      <c r="A57" s="95">
        <v>44</v>
      </c>
      <c r="B57" s="100" t="s">
        <v>1461</v>
      </c>
      <c r="C57" s="99"/>
      <c r="D57" s="99"/>
      <c r="E57" s="99"/>
      <c r="F57" s="99"/>
      <c r="G57" s="99"/>
      <c r="H57" s="99"/>
      <c r="I57" s="99"/>
      <c r="J57" s="98"/>
    </row>
    <row r="58" spans="1:10" ht="12.75" customHeight="1">
      <c r="A58" s="95">
        <v>45</v>
      </c>
      <c r="B58" s="104" t="s">
        <v>61</v>
      </c>
      <c r="C58" s="103">
        <v>1.01</v>
      </c>
      <c r="D58" s="103">
        <v>1.01</v>
      </c>
      <c r="E58" s="102">
        <v>1.0097</v>
      </c>
      <c r="F58" s="102">
        <v>1.0097</v>
      </c>
      <c r="G58" s="102">
        <v>1.0097</v>
      </c>
      <c r="H58" s="102">
        <v>1.0097</v>
      </c>
      <c r="I58" s="102">
        <v>1.0097</v>
      </c>
      <c r="J58" s="101"/>
    </row>
    <row r="59" spans="1:10">
      <c r="A59" s="95">
        <v>46</v>
      </c>
      <c r="B59" s="104" t="s">
        <v>62</v>
      </c>
      <c r="C59" s="103">
        <v>1.0149999999999999</v>
      </c>
      <c r="D59" s="103">
        <v>1.0149999999999999</v>
      </c>
      <c r="E59" s="102">
        <v>1.0142</v>
      </c>
      <c r="F59" s="102">
        <v>1.0142</v>
      </c>
      <c r="G59" s="102">
        <v>1.0142</v>
      </c>
      <c r="H59" s="102">
        <v>1.0142</v>
      </c>
      <c r="I59" s="102">
        <v>1.0142</v>
      </c>
      <c r="J59" s="101"/>
    </row>
    <row r="60" spans="1:10">
      <c r="A60" s="95">
        <v>47</v>
      </c>
      <c r="B60" s="104" t="s">
        <v>63</v>
      </c>
      <c r="C60" s="103">
        <v>1.024</v>
      </c>
      <c r="D60" s="103">
        <v>1.024</v>
      </c>
      <c r="E60" s="102">
        <v>1.0269999999999999</v>
      </c>
      <c r="F60" s="102">
        <v>1.0269999999999999</v>
      </c>
      <c r="G60" s="102">
        <v>1.0269999999999999</v>
      </c>
      <c r="H60" s="102">
        <v>1.0269999999999999</v>
      </c>
      <c r="I60" s="102">
        <v>1.0269999999999999</v>
      </c>
      <c r="J60" s="101"/>
    </row>
    <row r="61" spans="1:10">
      <c r="A61" s="95">
        <v>48</v>
      </c>
      <c r="B61" s="104" t="s">
        <v>64</v>
      </c>
      <c r="C61" s="103">
        <v>1.032</v>
      </c>
      <c r="D61" s="103">
        <v>1.032</v>
      </c>
      <c r="E61" s="102">
        <v>1.0348999999999999</v>
      </c>
      <c r="F61" s="102">
        <v>1.0348999999999999</v>
      </c>
      <c r="G61" s="102">
        <v>1.0348999999999999</v>
      </c>
      <c r="H61" s="102">
        <v>1.0348999999999999</v>
      </c>
      <c r="I61" s="102">
        <v>1.0348999999999999</v>
      </c>
      <c r="J61" s="101"/>
    </row>
    <row r="62" spans="1:10">
      <c r="A62" s="95">
        <v>49</v>
      </c>
      <c r="B62" s="104" t="s">
        <v>65</v>
      </c>
      <c r="C62" s="103">
        <v>1.0469999999999999</v>
      </c>
      <c r="D62" s="103">
        <v>1.0469999999999999</v>
      </c>
      <c r="E62" s="102">
        <v>1.0439000000000001</v>
      </c>
      <c r="F62" s="102">
        <v>1.0439000000000001</v>
      </c>
      <c r="G62" s="102">
        <v>1.0439000000000001</v>
      </c>
      <c r="H62" s="102">
        <v>1.0439000000000001</v>
      </c>
      <c r="I62" s="102">
        <v>1.0439000000000001</v>
      </c>
      <c r="J62" s="101"/>
    </row>
    <row r="63" spans="1:10">
      <c r="A63" s="95">
        <v>50</v>
      </c>
      <c r="B63" s="104" t="s">
        <v>66</v>
      </c>
      <c r="C63" s="103">
        <v>1.0629999999999999</v>
      </c>
      <c r="D63" s="103">
        <v>1.0629999999999999</v>
      </c>
      <c r="E63" s="102">
        <v>1.0640000000000001</v>
      </c>
      <c r="F63" s="102">
        <v>1.0640000000000001</v>
      </c>
      <c r="G63" s="102">
        <v>1.0640000000000001</v>
      </c>
      <c r="H63" s="102">
        <v>1.0640000000000001</v>
      </c>
      <c r="I63" s="102">
        <v>1.0640000000000001</v>
      </c>
      <c r="J63" s="101"/>
    </row>
    <row r="64" spans="1:10">
      <c r="A64" s="95">
        <v>51</v>
      </c>
      <c r="B64" s="104" t="s">
        <v>67</v>
      </c>
      <c r="C64" s="103">
        <v>1.0860000000000001</v>
      </c>
      <c r="D64" s="103">
        <v>1.0860000000000001</v>
      </c>
      <c r="E64" s="102">
        <v>1.085</v>
      </c>
      <c r="F64" s="102">
        <v>1.085</v>
      </c>
      <c r="G64" s="102">
        <v>1.085</v>
      </c>
      <c r="H64" s="102">
        <v>1.085</v>
      </c>
      <c r="I64" s="102">
        <v>1.085</v>
      </c>
      <c r="J64" s="101"/>
    </row>
    <row r="65" spans="1:10">
      <c r="A65" s="95">
        <v>52</v>
      </c>
      <c r="B65" s="100" t="s">
        <v>1460</v>
      </c>
      <c r="C65" s="99"/>
      <c r="D65" s="99"/>
      <c r="E65" s="99"/>
      <c r="F65" s="99"/>
      <c r="G65" s="99"/>
      <c r="H65" s="99"/>
      <c r="I65" s="99"/>
      <c r="J65" s="98"/>
    </row>
    <row r="66" spans="1:10" ht="12.75" customHeight="1">
      <c r="A66" s="95">
        <v>53</v>
      </c>
      <c r="B66" s="104" t="s">
        <v>120</v>
      </c>
      <c r="C66" s="111">
        <v>0.31011941936968845</v>
      </c>
      <c r="D66" s="111">
        <v>0.31917488363683072</v>
      </c>
      <c r="E66" s="118">
        <v>0.31963777193131604</v>
      </c>
      <c r="F66" s="118">
        <v>0.31963777193131604</v>
      </c>
      <c r="G66" s="118">
        <v>0.31963777193131604</v>
      </c>
      <c r="H66" s="118">
        <v>0.31963777193131604</v>
      </c>
      <c r="I66" s="118">
        <v>0.31963777193131604</v>
      </c>
      <c r="J66" s="101"/>
    </row>
    <row r="67" spans="1:10">
      <c r="A67" s="95">
        <v>54</v>
      </c>
      <c r="B67" s="104" t="s">
        <v>121</v>
      </c>
      <c r="C67" s="111">
        <v>0.61876697115896862</v>
      </c>
      <c r="D67" s="111">
        <v>0.67224945732156394</v>
      </c>
      <c r="E67" s="118">
        <v>0.63846715658715969</v>
      </c>
      <c r="F67" s="118">
        <v>0.63846715658715969</v>
      </c>
      <c r="G67" s="118">
        <v>0.63846715658715969</v>
      </c>
      <c r="H67" s="118">
        <v>0.63846715658715969</v>
      </c>
      <c r="I67" s="118">
        <v>0.63846715658715969</v>
      </c>
      <c r="J67" s="101"/>
    </row>
    <row r="68" spans="1:10">
      <c r="A68" s="95">
        <v>55</v>
      </c>
      <c r="B68" s="104" t="s">
        <v>122</v>
      </c>
      <c r="C68" s="111">
        <v>0.43208503201790627</v>
      </c>
      <c r="D68" s="111">
        <v>0.50491328176662675</v>
      </c>
      <c r="E68" s="118">
        <v>0.45349156811055275</v>
      </c>
      <c r="F68" s="118">
        <v>0.45349156811055275</v>
      </c>
      <c r="G68" s="118">
        <v>0.45349156811055275</v>
      </c>
      <c r="H68" s="118">
        <v>0.45349156811055275</v>
      </c>
      <c r="I68" s="118">
        <v>0.45349156811055275</v>
      </c>
      <c r="J68" s="101"/>
    </row>
    <row r="69" spans="1:10">
      <c r="A69" s="95">
        <v>56</v>
      </c>
      <c r="B69" s="104" t="s">
        <v>123</v>
      </c>
      <c r="C69" s="111">
        <v>0.32542126090532614</v>
      </c>
      <c r="D69" s="111">
        <v>0.40641611674740552</v>
      </c>
      <c r="E69" s="118">
        <v>0.34444405043316395</v>
      </c>
      <c r="F69" s="118">
        <v>0.34444405043316395</v>
      </c>
      <c r="G69" s="118">
        <v>0.34444405043316395</v>
      </c>
      <c r="H69" s="118">
        <v>0.34444405043316395</v>
      </c>
      <c r="I69" s="118">
        <v>0.34444405043316395</v>
      </c>
      <c r="J69" s="101"/>
    </row>
    <row r="70" spans="1:10">
      <c r="A70" s="95">
        <v>57</v>
      </c>
      <c r="B70" s="100" t="s">
        <v>1459</v>
      </c>
      <c r="C70" s="99"/>
      <c r="D70" s="99"/>
      <c r="E70" s="99"/>
      <c r="F70" s="99"/>
      <c r="G70" s="99"/>
      <c r="H70" s="99"/>
      <c r="I70" s="99"/>
      <c r="J70" s="98"/>
    </row>
    <row r="71" spans="1:10">
      <c r="A71" s="95">
        <v>58</v>
      </c>
      <c r="B71" s="104" t="s">
        <v>92</v>
      </c>
      <c r="C71" s="102">
        <v>0.85428176393747446</v>
      </c>
      <c r="D71" s="102">
        <v>0.85615815102704806</v>
      </c>
      <c r="E71" s="102">
        <f>'Smoothed Input Details'!E15</f>
        <v>0.85759516031476501</v>
      </c>
      <c r="F71" s="107">
        <f>E71</f>
        <v>0.85759516031476501</v>
      </c>
      <c r="G71" s="107">
        <f t="shared" ref="G71:I71" si="5">F71</f>
        <v>0.85759516031476501</v>
      </c>
      <c r="H71" s="107">
        <f t="shared" si="5"/>
        <v>0.85759516031476501</v>
      </c>
      <c r="I71" s="107">
        <f t="shared" si="5"/>
        <v>0.85759516031476501</v>
      </c>
      <c r="J71" s="101"/>
    </row>
    <row r="72" spans="1:10">
      <c r="A72" s="95">
        <v>59</v>
      </c>
      <c r="B72" s="104" t="s">
        <v>93</v>
      </c>
      <c r="C72" s="102">
        <v>0.28022943584993715</v>
      </c>
      <c r="D72" s="102">
        <v>0.28210813537785667</v>
      </c>
      <c r="E72" s="102">
        <f>'Smoothed Input Details'!E16</f>
        <v>0.28862941872680464</v>
      </c>
      <c r="F72" s="107">
        <f t="shared" ref="F72:I72" si="6">E72</f>
        <v>0.28862941872680464</v>
      </c>
      <c r="G72" s="107">
        <f t="shared" si="6"/>
        <v>0.28862941872680464</v>
      </c>
      <c r="H72" s="107">
        <f t="shared" si="6"/>
        <v>0.28862941872680464</v>
      </c>
      <c r="I72" s="107">
        <f t="shared" si="6"/>
        <v>0.28862941872680464</v>
      </c>
      <c r="J72" s="101"/>
    </row>
    <row r="73" spans="1:10">
      <c r="A73" s="95">
        <v>60</v>
      </c>
      <c r="B73" s="104" t="s">
        <v>129</v>
      </c>
      <c r="C73" s="117"/>
      <c r="D73" s="117">
        <v>0</v>
      </c>
      <c r="E73" s="117"/>
      <c r="F73" s="117"/>
      <c r="G73" s="117"/>
      <c r="H73" s="117"/>
      <c r="I73" s="117"/>
      <c r="J73" s="101"/>
    </row>
    <row r="74" spans="1:10">
      <c r="A74" s="95">
        <v>61</v>
      </c>
      <c r="B74" s="104" t="s">
        <v>94</v>
      </c>
      <c r="C74" s="102">
        <v>0.62872066836156437</v>
      </c>
      <c r="D74" s="102">
        <v>0.6290993538365518</v>
      </c>
      <c r="E74" s="102">
        <f>'Smoothed Input Details'!E18</f>
        <v>0.63063099162887759</v>
      </c>
      <c r="F74" s="107">
        <f>E74</f>
        <v>0.63063099162887759</v>
      </c>
      <c r="G74" s="107">
        <f t="shared" ref="G74:I74" si="7">F74</f>
        <v>0.63063099162887759</v>
      </c>
      <c r="H74" s="107">
        <f t="shared" si="7"/>
        <v>0.63063099162887759</v>
      </c>
      <c r="I74" s="107">
        <f t="shared" si="7"/>
        <v>0.63063099162887759</v>
      </c>
      <c r="J74" s="101"/>
    </row>
    <row r="75" spans="1:10">
      <c r="A75" s="95">
        <v>62</v>
      </c>
      <c r="B75" s="104" t="s">
        <v>95</v>
      </c>
      <c r="C75" s="102">
        <v>0.65849541374968179</v>
      </c>
      <c r="D75" s="102">
        <v>0.69488854284621537</v>
      </c>
      <c r="E75" s="102">
        <f>'Smoothed Input Details'!E19</f>
        <v>0.72549700914004911</v>
      </c>
      <c r="F75" s="107">
        <f t="shared" ref="F75:I75" si="8">E75</f>
        <v>0.72549700914004911</v>
      </c>
      <c r="G75" s="107">
        <f t="shared" si="8"/>
        <v>0.72549700914004911</v>
      </c>
      <c r="H75" s="107">
        <f t="shared" si="8"/>
        <v>0.72549700914004911</v>
      </c>
      <c r="I75" s="107">
        <f t="shared" si="8"/>
        <v>0.72549700914004911</v>
      </c>
      <c r="J75" s="101"/>
    </row>
    <row r="76" spans="1:10">
      <c r="A76" s="95">
        <v>63</v>
      </c>
      <c r="B76" s="104" t="s">
        <v>130</v>
      </c>
      <c r="C76" s="117"/>
      <c r="D76" s="117">
        <v>0</v>
      </c>
      <c r="E76" s="117"/>
      <c r="F76" s="117"/>
      <c r="G76" s="117"/>
      <c r="H76" s="117"/>
      <c r="I76" s="117"/>
      <c r="J76" s="101"/>
    </row>
    <row r="77" spans="1:10">
      <c r="A77" s="95">
        <v>64</v>
      </c>
      <c r="B77" s="104" t="s">
        <v>96</v>
      </c>
      <c r="C77" s="102">
        <v>0.71658302436019561</v>
      </c>
      <c r="D77" s="102">
        <v>0.74100589560099639</v>
      </c>
      <c r="E77" s="102">
        <f>'Smoothed Input Details'!E21</f>
        <v>0.77193739705983777</v>
      </c>
      <c r="F77" s="107">
        <f>E77</f>
        <v>0.77193739705983777</v>
      </c>
      <c r="G77" s="107">
        <f t="shared" ref="G77:I77" si="9">F77</f>
        <v>0.77193739705983777</v>
      </c>
      <c r="H77" s="107">
        <f t="shared" si="9"/>
        <v>0.77193739705983777</v>
      </c>
      <c r="I77" s="107">
        <f t="shared" si="9"/>
        <v>0.77193739705983777</v>
      </c>
      <c r="J77" s="101"/>
    </row>
    <row r="78" spans="1:10">
      <c r="A78" s="95">
        <v>65</v>
      </c>
      <c r="B78" s="104" t="s">
        <v>97</v>
      </c>
      <c r="C78" s="102">
        <v>0.71658302436019561</v>
      </c>
      <c r="D78" s="102">
        <v>0.74100589560099639</v>
      </c>
      <c r="E78" s="102">
        <f>'Smoothed Input Details'!E22</f>
        <v>0.77193739705983777</v>
      </c>
      <c r="F78" s="107">
        <f t="shared" ref="F78:I82" si="10">E78</f>
        <v>0.77193739705983777</v>
      </c>
      <c r="G78" s="107">
        <f t="shared" si="10"/>
        <v>0.77193739705983777</v>
      </c>
      <c r="H78" s="107">
        <f t="shared" si="10"/>
        <v>0.77193739705983777</v>
      </c>
      <c r="I78" s="107">
        <f t="shared" si="10"/>
        <v>0.77193739705983777</v>
      </c>
      <c r="J78" s="101"/>
    </row>
    <row r="79" spans="1:10">
      <c r="A79" s="95">
        <v>66</v>
      </c>
      <c r="B79" s="104" t="s">
        <v>110</v>
      </c>
      <c r="C79" s="102">
        <v>0.63881955245668343</v>
      </c>
      <c r="D79" s="102">
        <v>0.56577601339958228</v>
      </c>
      <c r="E79" s="102">
        <f>'Smoothed Input Details'!E23</f>
        <v>0.5147350712369958</v>
      </c>
      <c r="F79" s="107">
        <f t="shared" si="10"/>
        <v>0.5147350712369958</v>
      </c>
      <c r="G79" s="107">
        <f t="shared" si="10"/>
        <v>0.5147350712369958</v>
      </c>
      <c r="H79" s="107">
        <f t="shared" si="10"/>
        <v>0.5147350712369958</v>
      </c>
      <c r="I79" s="107">
        <f t="shared" si="10"/>
        <v>0.5147350712369958</v>
      </c>
      <c r="J79" s="101"/>
    </row>
    <row r="80" spans="1:10">
      <c r="A80" s="95">
        <v>67</v>
      </c>
      <c r="B80" s="104" t="s">
        <v>1647</v>
      </c>
      <c r="C80" s="102"/>
      <c r="D80" s="102"/>
      <c r="E80" s="102">
        <f>'Smoothed Input Details'!E24</f>
        <v>0.82538148778829346</v>
      </c>
      <c r="F80" s="107">
        <f t="shared" si="10"/>
        <v>0.82538148778829346</v>
      </c>
      <c r="G80" s="107">
        <f t="shared" si="10"/>
        <v>0.82538148778829346</v>
      </c>
      <c r="H80" s="107">
        <f t="shared" si="10"/>
        <v>0.82538148778829346</v>
      </c>
      <c r="I80" s="107">
        <f t="shared" si="10"/>
        <v>0.82538148778829346</v>
      </c>
      <c r="J80" s="101"/>
    </row>
    <row r="81" spans="1:10">
      <c r="A81" s="95">
        <v>68</v>
      </c>
      <c r="B81" s="104" t="s">
        <v>1646</v>
      </c>
      <c r="C81" s="102"/>
      <c r="D81" s="102"/>
      <c r="E81" s="102">
        <f>'Smoothed Input Details'!E25</f>
        <v>0.64712654999949026</v>
      </c>
      <c r="F81" s="107">
        <f t="shared" si="10"/>
        <v>0.64712654999949026</v>
      </c>
      <c r="G81" s="107">
        <f t="shared" si="10"/>
        <v>0.64712654999949026</v>
      </c>
      <c r="H81" s="107">
        <f t="shared" si="10"/>
        <v>0.64712654999949026</v>
      </c>
      <c r="I81" s="107">
        <f t="shared" si="10"/>
        <v>0.64712654999949026</v>
      </c>
      <c r="J81" s="101"/>
    </row>
    <row r="82" spans="1:10">
      <c r="A82" s="95">
        <v>69</v>
      </c>
      <c r="B82" s="104" t="s">
        <v>98</v>
      </c>
      <c r="C82" s="102">
        <v>0.7851156501192702</v>
      </c>
      <c r="D82" s="102">
        <v>0.77203853871891381</v>
      </c>
      <c r="E82" s="102">
        <f>'Smoothed Input Details'!E26</f>
        <v>0.76513583991019607</v>
      </c>
      <c r="F82" s="107">
        <f>E82</f>
        <v>0.76513583991019607</v>
      </c>
      <c r="G82" s="107">
        <f t="shared" si="10"/>
        <v>0.76513583991019607</v>
      </c>
      <c r="H82" s="107">
        <f t="shared" si="10"/>
        <v>0.76513583991019607</v>
      </c>
      <c r="I82" s="107">
        <f t="shared" si="10"/>
        <v>0.76513583991019607</v>
      </c>
      <c r="J82" s="101"/>
    </row>
    <row r="83" spans="1:10">
      <c r="A83" s="95">
        <v>70</v>
      </c>
      <c r="B83" s="104" t="s">
        <v>99</v>
      </c>
      <c r="C83" s="102">
        <v>0.7851156501192702</v>
      </c>
      <c r="D83" s="102">
        <v>0.77203853871891381</v>
      </c>
      <c r="E83" s="102">
        <f>'Smoothed Input Details'!E27</f>
        <v>0.76513583991019607</v>
      </c>
      <c r="F83" s="107">
        <f t="shared" ref="F83:I85" si="11">E83</f>
        <v>0.76513583991019607</v>
      </c>
      <c r="G83" s="107">
        <f t="shared" si="11"/>
        <v>0.76513583991019607</v>
      </c>
      <c r="H83" s="107">
        <f t="shared" si="11"/>
        <v>0.76513583991019607</v>
      </c>
      <c r="I83" s="107">
        <f t="shared" si="11"/>
        <v>0.76513583991019607</v>
      </c>
      <c r="J83" s="101"/>
    </row>
    <row r="84" spans="1:10">
      <c r="A84" s="95">
        <v>71</v>
      </c>
      <c r="B84" s="104" t="s">
        <v>111</v>
      </c>
      <c r="C84" s="102">
        <v>0.85615465839194405</v>
      </c>
      <c r="D84" s="102">
        <v>0.85066605130685036</v>
      </c>
      <c r="E84" s="102">
        <f>'Smoothed Input Details'!E28</f>
        <v>0.85096169090232854</v>
      </c>
      <c r="F84" s="107">
        <f t="shared" si="11"/>
        <v>0.85096169090232854</v>
      </c>
      <c r="G84" s="107">
        <f t="shared" si="11"/>
        <v>0.85096169090232854</v>
      </c>
      <c r="H84" s="107">
        <f t="shared" si="11"/>
        <v>0.85096169090232854</v>
      </c>
      <c r="I84" s="107">
        <f t="shared" si="11"/>
        <v>0.85096169090232854</v>
      </c>
      <c r="J84" s="101"/>
    </row>
    <row r="85" spans="1:10">
      <c r="A85" s="95">
        <v>72</v>
      </c>
      <c r="B85" s="104" t="s">
        <v>131</v>
      </c>
      <c r="C85" s="102">
        <v>1</v>
      </c>
      <c r="D85" s="102">
        <v>1</v>
      </c>
      <c r="E85" s="102">
        <f>'Smoothed Input Details'!E29</f>
        <v>1</v>
      </c>
      <c r="F85" s="107">
        <f>E85</f>
        <v>1</v>
      </c>
      <c r="G85" s="107">
        <f t="shared" si="11"/>
        <v>1</v>
      </c>
      <c r="H85" s="107">
        <f t="shared" si="11"/>
        <v>1</v>
      </c>
      <c r="I85" s="107">
        <f t="shared" si="11"/>
        <v>1</v>
      </c>
      <c r="J85" s="101"/>
    </row>
    <row r="86" spans="1:10">
      <c r="A86" s="95">
        <v>73</v>
      </c>
      <c r="B86" s="104" t="s">
        <v>132</v>
      </c>
      <c r="C86" s="102">
        <v>1</v>
      </c>
      <c r="D86" s="102">
        <v>0.99388353345735381</v>
      </c>
      <c r="E86" s="102">
        <f>'Smoothed Input Details'!E30</f>
        <v>0.99388353345735381</v>
      </c>
      <c r="F86" s="107">
        <f t="shared" ref="F86:I89" si="12">E86</f>
        <v>0.99388353345735381</v>
      </c>
      <c r="G86" s="107">
        <f t="shared" si="12"/>
        <v>0.99388353345735381</v>
      </c>
      <c r="H86" s="107">
        <f t="shared" si="12"/>
        <v>0.99388353345735381</v>
      </c>
      <c r="I86" s="107">
        <f t="shared" si="12"/>
        <v>0.99388353345735381</v>
      </c>
      <c r="J86" s="101"/>
    </row>
    <row r="87" spans="1:10">
      <c r="A87" s="95">
        <v>74</v>
      </c>
      <c r="B87" s="104" t="s">
        <v>133</v>
      </c>
      <c r="C87" s="102">
        <v>1</v>
      </c>
      <c r="D87" s="102">
        <v>0.78657314629258523</v>
      </c>
      <c r="E87" s="102">
        <f>'Smoothed Input Details'!E31</f>
        <v>0.75050100200400804</v>
      </c>
      <c r="F87" s="107">
        <f t="shared" si="12"/>
        <v>0.75050100200400804</v>
      </c>
      <c r="G87" s="107">
        <f t="shared" si="12"/>
        <v>0.75050100200400804</v>
      </c>
      <c r="H87" s="107">
        <f t="shared" si="12"/>
        <v>0.75050100200400804</v>
      </c>
      <c r="I87" s="107">
        <f t="shared" si="12"/>
        <v>0.75050100200400804</v>
      </c>
      <c r="J87" s="101"/>
    </row>
    <row r="88" spans="1:10">
      <c r="A88" s="95">
        <v>75</v>
      </c>
      <c r="B88" s="104" t="s">
        <v>134</v>
      </c>
      <c r="C88" s="102">
        <v>0</v>
      </c>
      <c r="D88" s="102">
        <v>0</v>
      </c>
      <c r="E88" s="102">
        <f>'Smoothed Input Details'!E32</f>
        <v>0</v>
      </c>
      <c r="F88" s="107">
        <f t="shared" si="12"/>
        <v>0</v>
      </c>
      <c r="G88" s="107">
        <f t="shared" si="12"/>
        <v>0</v>
      </c>
      <c r="H88" s="107">
        <f t="shared" si="12"/>
        <v>0</v>
      </c>
      <c r="I88" s="107">
        <f t="shared" si="12"/>
        <v>0</v>
      </c>
      <c r="J88" s="101"/>
    </row>
    <row r="89" spans="1:10">
      <c r="A89" s="95">
        <v>76</v>
      </c>
      <c r="B89" s="104" t="s">
        <v>135</v>
      </c>
      <c r="C89" s="102">
        <v>0.9763481389325176</v>
      </c>
      <c r="D89" s="102">
        <v>0.98052923684227988</v>
      </c>
      <c r="E89" s="102">
        <f>'Smoothed Input Details'!E33</f>
        <v>0.97898179724204526</v>
      </c>
      <c r="F89" s="107">
        <f t="shared" si="12"/>
        <v>0.97898179724204526</v>
      </c>
      <c r="G89" s="107">
        <f t="shared" si="12"/>
        <v>0.97898179724204526</v>
      </c>
      <c r="H89" s="107">
        <f t="shared" si="12"/>
        <v>0.97898179724204526</v>
      </c>
      <c r="I89" s="107">
        <f t="shared" si="12"/>
        <v>0.97898179724204526</v>
      </c>
      <c r="J89" s="101"/>
    </row>
    <row r="90" spans="1:10">
      <c r="A90" s="95">
        <v>77</v>
      </c>
      <c r="B90" s="100" t="s">
        <v>1458</v>
      </c>
      <c r="C90" s="99"/>
      <c r="D90" s="99"/>
      <c r="E90" s="99"/>
      <c r="F90" s="99"/>
      <c r="G90" s="99"/>
      <c r="H90" s="99"/>
      <c r="I90" s="99"/>
      <c r="J90" s="98"/>
    </row>
    <row r="91" spans="1:10">
      <c r="A91" s="95">
        <v>78</v>
      </c>
      <c r="B91" s="104" t="s">
        <v>92</v>
      </c>
      <c r="C91" s="103">
        <v>0.4185179457673191</v>
      </c>
      <c r="D91" s="103">
        <v>0.42645841772734933</v>
      </c>
      <c r="E91" s="102">
        <f>'Smoothed Input Details'!E42</f>
        <v>0.44003574379694171</v>
      </c>
      <c r="F91" s="107">
        <f>E91</f>
        <v>0.44003574379694171</v>
      </c>
      <c r="G91" s="107">
        <f t="shared" ref="G91:I91" si="13">F91</f>
        <v>0.44003574379694171</v>
      </c>
      <c r="H91" s="107">
        <f t="shared" si="13"/>
        <v>0.44003574379694171</v>
      </c>
      <c r="I91" s="107">
        <f t="shared" si="13"/>
        <v>0.44003574379694171</v>
      </c>
      <c r="J91" s="101"/>
    </row>
    <row r="92" spans="1:10">
      <c r="A92" s="95">
        <v>79</v>
      </c>
      <c r="B92" s="104" t="s">
        <v>93</v>
      </c>
      <c r="C92" s="103">
        <v>0.22575943013602809</v>
      </c>
      <c r="D92" s="103">
        <v>0.23320047291188359</v>
      </c>
      <c r="E92" s="102">
        <f>'Smoothed Input Details'!E43</f>
        <v>0.24997898838710139</v>
      </c>
      <c r="F92" s="107">
        <f t="shared" ref="F92:I96" si="14">E92</f>
        <v>0.24997898838710139</v>
      </c>
      <c r="G92" s="107">
        <f t="shared" si="14"/>
        <v>0.24997898838710139</v>
      </c>
      <c r="H92" s="107">
        <f t="shared" si="14"/>
        <v>0.24997898838710139</v>
      </c>
      <c r="I92" s="107">
        <f t="shared" si="14"/>
        <v>0.24997898838710139</v>
      </c>
      <c r="J92" s="101"/>
    </row>
    <row r="93" spans="1:10">
      <c r="A93" s="95">
        <v>80</v>
      </c>
      <c r="B93" s="104" t="s">
        <v>129</v>
      </c>
      <c r="C93" s="103">
        <v>0.35521222927889456</v>
      </c>
      <c r="D93" s="103">
        <v>0.32516284846674676</v>
      </c>
      <c r="E93" s="102">
        <f>'Smoothed Input Details'!E44</f>
        <v>0.25721840525583911</v>
      </c>
      <c r="F93" s="107">
        <f t="shared" si="14"/>
        <v>0.25721840525583911</v>
      </c>
      <c r="G93" s="107">
        <f t="shared" si="14"/>
        <v>0.25721840525583911</v>
      </c>
      <c r="H93" s="107">
        <f t="shared" si="14"/>
        <v>0.25721840525583911</v>
      </c>
      <c r="I93" s="107">
        <f t="shared" si="14"/>
        <v>0.25721840525583911</v>
      </c>
      <c r="J93" s="101"/>
    </row>
    <row r="94" spans="1:10">
      <c r="A94" s="95">
        <v>81</v>
      </c>
      <c r="B94" s="104" t="s">
        <v>94</v>
      </c>
      <c r="C94" s="103">
        <v>0.37723529434132103</v>
      </c>
      <c r="D94" s="103">
        <v>0.39065998612000369</v>
      </c>
      <c r="E94" s="102">
        <f>'Smoothed Input Details'!E45</f>
        <v>0.41141924234461547</v>
      </c>
      <c r="F94" s="107">
        <f t="shared" si="14"/>
        <v>0.41141924234461547</v>
      </c>
      <c r="G94" s="107">
        <f t="shared" si="14"/>
        <v>0.41141924234461547</v>
      </c>
      <c r="H94" s="107">
        <f t="shared" si="14"/>
        <v>0.41141924234461547</v>
      </c>
      <c r="I94" s="107">
        <f t="shared" si="14"/>
        <v>0.41141924234461547</v>
      </c>
      <c r="J94" s="101"/>
    </row>
    <row r="95" spans="1:10">
      <c r="A95" s="95">
        <v>82</v>
      </c>
      <c r="B95" s="104" t="s">
        <v>95</v>
      </c>
      <c r="C95" s="103">
        <v>0.47835427342297177</v>
      </c>
      <c r="D95" s="103">
        <v>0.511150192275867</v>
      </c>
      <c r="E95" s="102">
        <f>'Smoothed Input Details'!E46</f>
        <v>0.55069014186184517</v>
      </c>
      <c r="F95" s="107">
        <f t="shared" si="14"/>
        <v>0.55069014186184517</v>
      </c>
      <c r="G95" s="107">
        <f t="shared" si="14"/>
        <v>0.55069014186184517</v>
      </c>
      <c r="H95" s="107">
        <f t="shared" si="14"/>
        <v>0.55069014186184517</v>
      </c>
      <c r="I95" s="107">
        <f t="shared" si="14"/>
        <v>0.55069014186184517</v>
      </c>
      <c r="J95" s="101"/>
    </row>
    <row r="96" spans="1:10">
      <c r="A96" s="95">
        <v>83</v>
      </c>
      <c r="B96" s="104" t="s">
        <v>130</v>
      </c>
      <c r="C96" s="103">
        <v>0.37127517018528805</v>
      </c>
      <c r="D96" s="103">
        <v>0.3426193737343588</v>
      </c>
      <c r="E96" s="102">
        <f>'Smoothed Input Details'!E47</f>
        <v>0.28056285937387915</v>
      </c>
      <c r="F96" s="107">
        <f>E96</f>
        <v>0.28056285937387915</v>
      </c>
      <c r="G96" s="107">
        <f t="shared" si="14"/>
        <v>0.28056285937387915</v>
      </c>
      <c r="H96" s="107">
        <f t="shared" si="14"/>
        <v>0.28056285937387915</v>
      </c>
      <c r="I96" s="107">
        <f t="shared" si="14"/>
        <v>0.28056285937387915</v>
      </c>
      <c r="J96" s="101"/>
    </row>
    <row r="97" spans="1:10">
      <c r="A97" s="95">
        <v>84</v>
      </c>
      <c r="B97" s="104" t="s">
        <v>96</v>
      </c>
      <c r="C97" s="103">
        <v>0.46818779704871294</v>
      </c>
      <c r="D97" s="103">
        <v>0.48653389897579857</v>
      </c>
      <c r="E97" s="102">
        <f>'Smoothed Input Details'!E48</f>
        <v>0.54202643928388716</v>
      </c>
      <c r="F97" s="107">
        <f t="shared" ref="F97:I101" si="15">E97</f>
        <v>0.54202643928388716</v>
      </c>
      <c r="G97" s="107">
        <f t="shared" si="15"/>
        <v>0.54202643928388716</v>
      </c>
      <c r="H97" s="107">
        <f t="shared" si="15"/>
        <v>0.54202643928388716</v>
      </c>
      <c r="I97" s="107">
        <f t="shared" si="15"/>
        <v>0.54202643928388716</v>
      </c>
      <c r="J97" s="101"/>
    </row>
    <row r="98" spans="1:10">
      <c r="A98" s="95">
        <v>85</v>
      </c>
      <c r="B98" s="104" t="s">
        <v>97</v>
      </c>
      <c r="C98" s="103">
        <v>0.46818779704871294</v>
      </c>
      <c r="D98" s="103">
        <v>0.48653389897579857</v>
      </c>
      <c r="E98" s="102">
        <f>'Smoothed Input Details'!E49</f>
        <v>0.54202643928388716</v>
      </c>
      <c r="F98" s="107">
        <f t="shared" si="15"/>
        <v>0.54202643928388716</v>
      </c>
      <c r="G98" s="107">
        <f t="shared" si="15"/>
        <v>0.54202643928388716</v>
      </c>
      <c r="H98" s="107">
        <f t="shared" si="15"/>
        <v>0.54202643928388716</v>
      </c>
      <c r="I98" s="107">
        <f t="shared" si="15"/>
        <v>0.54202643928388716</v>
      </c>
      <c r="J98" s="101"/>
    </row>
    <row r="99" spans="1:10">
      <c r="A99" s="95">
        <v>86</v>
      </c>
      <c r="B99" s="104" t="s">
        <v>110</v>
      </c>
      <c r="C99" s="103">
        <v>0.4503570237491154</v>
      </c>
      <c r="D99" s="103">
        <v>0.39658097096435507</v>
      </c>
      <c r="E99" s="102">
        <f>'Smoothed Input Details'!E50</f>
        <v>0.37297691878220807</v>
      </c>
      <c r="F99" s="107">
        <f t="shared" si="15"/>
        <v>0.37297691878220807</v>
      </c>
      <c r="G99" s="107">
        <f t="shared" si="15"/>
        <v>0.37297691878220807</v>
      </c>
      <c r="H99" s="107">
        <f t="shared" si="15"/>
        <v>0.37297691878220807</v>
      </c>
      <c r="I99" s="107">
        <f t="shared" si="15"/>
        <v>0.37297691878220807</v>
      </c>
      <c r="J99" s="101"/>
    </row>
    <row r="100" spans="1:10">
      <c r="A100" s="95">
        <v>87</v>
      </c>
      <c r="B100" s="104" t="s">
        <v>1647</v>
      </c>
      <c r="C100" s="103"/>
      <c r="D100" s="103"/>
      <c r="E100" s="102">
        <f>'Smoothed Input Details'!E51</f>
        <v>0.42910585224417291</v>
      </c>
      <c r="F100" s="107">
        <f t="shared" si="15"/>
        <v>0.42910585224417291</v>
      </c>
      <c r="G100" s="107">
        <f t="shared" si="15"/>
        <v>0.42910585224417291</v>
      </c>
      <c r="H100" s="107">
        <f t="shared" si="15"/>
        <v>0.42910585224417291</v>
      </c>
      <c r="I100" s="107">
        <f t="shared" si="15"/>
        <v>0.42910585224417291</v>
      </c>
      <c r="J100" s="101"/>
    </row>
    <row r="101" spans="1:10">
      <c r="A101" s="95">
        <v>88</v>
      </c>
      <c r="B101" s="104" t="s">
        <v>1646</v>
      </c>
      <c r="C101" s="103"/>
      <c r="D101" s="103"/>
      <c r="E101" s="102">
        <f>'Smoothed Input Details'!E52</f>
        <v>0.43505682103944454</v>
      </c>
      <c r="F101" s="107">
        <f>E101</f>
        <v>0.43505682103944454</v>
      </c>
      <c r="G101" s="107">
        <f t="shared" si="15"/>
        <v>0.43505682103944454</v>
      </c>
      <c r="H101" s="107">
        <f t="shared" si="15"/>
        <v>0.43505682103944454</v>
      </c>
      <c r="I101" s="107">
        <f t="shared" si="15"/>
        <v>0.43505682103944454</v>
      </c>
      <c r="J101" s="101"/>
    </row>
    <row r="102" spans="1:10">
      <c r="A102" s="95">
        <v>89</v>
      </c>
      <c r="B102" s="104" t="s">
        <v>98</v>
      </c>
      <c r="C102" s="103">
        <v>0.5791293340500997</v>
      </c>
      <c r="D102" s="103">
        <v>0.58158149822789262</v>
      </c>
      <c r="E102" s="102">
        <f>'Smoothed Input Details'!E53</f>
        <v>0.58780986597120821</v>
      </c>
      <c r="F102" s="107">
        <f t="shared" ref="F102:I105" si="16">E102</f>
        <v>0.58780986597120821</v>
      </c>
      <c r="G102" s="107">
        <f t="shared" si="16"/>
        <v>0.58780986597120821</v>
      </c>
      <c r="H102" s="107">
        <f t="shared" si="16"/>
        <v>0.58780986597120821</v>
      </c>
      <c r="I102" s="107">
        <f t="shared" si="16"/>
        <v>0.58780986597120821</v>
      </c>
      <c r="J102" s="101"/>
    </row>
    <row r="103" spans="1:10">
      <c r="A103" s="95">
        <v>90</v>
      </c>
      <c r="B103" s="104" t="s">
        <v>99</v>
      </c>
      <c r="C103" s="103">
        <v>0.5791293340500997</v>
      </c>
      <c r="D103" s="103">
        <v>0.58158149822789262</v>
      </c>
      <c r="E103" s="102">
        <f>'Smoothed Input Details'!E54</f>
        <v>0.58780986597120821</v>
      </c>
      <c r="F103" s="107">
        <f t="shared" si="16"/>
        <v>0.58780986597120821</v>
      </c>
      <c r="G103" s="107">
        <f t="shared" si="16"/>
        <v>0.58780986597120821</v>
      </c>
      <c r="H103" s="107">
        <f t="shared" si="16"/>
        <v>0.58780986597120821</v>
      </c>
      <c r="I103" s="107">
        <f t="shared" si="16"/>
        <v>0.58780986597120821</v>
      </c>
      <c r="J103" s="101"/>
    </row>
    <row r="104" spans="1:10">
      <c r="A104" s="95">
        <v>91</v>
      </c>
      <c r="B104" s="104" t="s">
        <v>111</v>
      </c>
      <c r="C104" s="103">
        <v>0.72470519584596893</v>
      </c>
      <c r="D104" s="103">
        <v>0.73163728438243336</v>
      </c>
      <c r="E104" s="102">
        <f>'Smoothed Input Details'!E55</f>
        <v>0.73762935772845595</v>
      </c>
      <c r="F104" s="107">
        <f t="shared" si="16"/>
        <v>0.73762935772845595</v>
      </c>
      <c r="G104" s="107">
        <f t="shared" si="16"/>
        <v>0.73762935772845595</v>
      </c>
      <c r="H104" s="107">
        <f t="shared" si="16"/>
        <v>0.73762935772845595</v>
      </c>
      <c r="I104" s="107">
        <f t="shared" si="16"/>
        <v>0.73762935772845595</v>
      </c>
      <c r="J104" s="101"/>
    </row>
    <row r="105" spans="1:10">
      <c r="A105" s="95">
        <v>92</v>
      </c>
      <c r="B105" s="104" t="s">
        <v>131</v>
      </c>
      <c r="C105" s="103">
        <v>1</v>
      </c>
      <c r="D105" s="103">
        <v>1</v>
      </c>
      <c r="E105" s="102">
        <f>'Smoothed Input Details'!E56</f>
        <v>1</v>
      </c>
      <c r="F105" s="107">
        <f>E105</f>
        <v>1</v>
      </c>
      <c r="G105" s="107">
        <f t="shared" si="16"/>
        <v>1</v>
      </c>
      <c r="H105" s="107">
        <f t="shared" si="16"/>
        <v>1</v>
      </c>
      <c r="I105" s="107">
        <f t="shared" si="16"/>
        <v>1</v>
      </c>
      <c r="J105" s="101"/>
    </row>
    <row r="106" spans="1:10">
      <c r="A106" s="95">
        <v>93</v>
      </c>
      <c r="B106" s="104" t="s">
        <v>132</v>
      </c>
      <c r="C106" s="103">
        <v>0.47392211187214633</v>
      </c>
      <c r="D106" s="103">
        <v>0.47351084227255763</v>
      </c>
      <c r="E106" s="102">
        <f>'Smoothed Input Details'!E57</f>
        <v>0.47309957267296898</v>
      </c>
      <c r="F106" s="107">
        <f t="shared" ref="F106:I109" si="17">E106</f>
        <v>0.47309957267296898</v>
      </c>
      <c r="G106" s="107">
        <f t="shared" si="17"/>
        <v>0.47309957267296898</v>
      </c>
      <c r="H106" s="107">
        <f t="shared" si="17"/>
        <v>0.47309957267296898</v>
      </c>
      <c r="I106" s="107">
        <f t="shared" si="17"/>
        <v>0.47309957267296898</v>
      </c>
      <c r="J106" s="101"/>
    </row>
    <row r="107" spans="1:10">
      <c r="A107" s="95">
        <v>94</v>
      </c>
      <c r="B107" s="104" t="s">
        <v>133</v>
      </c>
      <c r="C107" s="103">
        <v>0.25334864155251147</v>
      </c>
      <c r="D107" s="103">
        <v>0.24930955379556233</v>
      </c>
      <c r="E107" s="102">
        <f>'Smoothed Input Details'!E58</f>
        <v>0.24527046603861322</v>
      </c>
      <c r="F107" s="107">
        <f t="shared" si="17"/>
        <v>0.24527046603861322</v>
      </c>
      <c r="G107" s="107">
        <f t="shared" si="17"/>
        <v>0.24527046603861322</v>
      </c>
      <c r="H107" s="107">
        <f t="shared" si="17"/>
        <v>0.24527046603861322</v>
      </c>
      <c r="I107" s="107">
        <f t="shared" si="17"/>
        <v>0.24527046603861322</v>
      </c>
      <c r="J107" s="101"/>
    </row>
    <row r="108" spans="1:10">
      <c r="A108" s="95">
        <v>95</v>
      </c>
      <c r="B108" s="104" t="s">
        <v>134</v>
      </c>
      <c r="C108" s="103">
        <v>0.55300000000000005</v>
      </c>
      <c r="D108" s="103">
        <v>0.51283048071201531</v>
      </c>
      <c r="E108" s="102">
        <f>'Smoothed Input Details'!E59</f>
        <v>0.51417471713179308</v>
      </c>
      <c r="F108" s="107">
        <f t="shared" si="17"/>
        <v>0.51417471713179308</v>
      </c>
      <c r="G108" s="107">
        <f t="shared" si="17"/>
        <v>0.51417471713179308</v>
      </c>
      <c r="H108" s="107">
        <f t="shared" si="17"/>
        <v>0.51417471713179308</v>
      </c>
      <c r="I108" s="107">
        <f t="shared" si="17"/>
        <v>0.51417471713179308</v>
      </c>
      <c r="J108" s="101"/>
    </row>
    <row r="109" spans="1:10">
      <c r="A109" s="95">
        <v>96</v>
      </c>
      <c r="B109" s="104" t="s">
        <v>135</v>
      </c>
      <c r="C109" s="103">
        <v>0.48679331777297591</v>
      </c>
      <c r="D109" s="103">
        <v>0.48215803781428118</v>
      </c>
      <c r="E109" s="102">
        <f>'Smoothed Input Details'!E60</f>
        <v>0.47429529311509694</v>
      </c>
      <c r="F109" s="107">
        <f t="shared" si="17"/>
        <v>0.47429529311509694</v>
      </c>
      <c r="G109" s="107">
        <f t="shared" si="17"/>
        <v>0.47429529311509694</v>
      </c>
      <c r="H109" s="107">
        <f t="shared" si="17"/>
        <v>0.47429529311509694</v>
      </c>
      <c r="I109" s="107">
        <f t="shared" si="17"/>
        <v>0.47429529311509694</v>
      </c>
      <c r="J109" s="101"/>
    </row>
    <row r="110" spans="1:10">
      <c r="A110" s="95">
        <v>97</v>
      </c>
      <c r="B110" s="116" t="s">
        <v>136</v>
      </c>
      <c r="C110" s="99"/>
      <c r="D110" s="99"/>
      <c r="E110" s="99"/>
      <c r="F110" s="99"/>
      <c r="G110" s="99"/>
      <c r="H110" s="99"/>
      <c r="I110" s="99"/>
      <c r="J110" s="98"/>
    </row>
    <row r="111" spans="1:10">
      <c r="A111" s="95">
        <v>98</v>
      </c>
      <c r="B111" s="100" t="s">
        <v>1457</v>
      </c>
      <c r="C111" s="106">
        <v>9906203.13528</v>
      </c>
      <c r="D111" s="106">
        <v>9508036.6772255599</v>
      </c>
      <c r="E111" s="105">
        <v>9891224.7698980197</v>
      </c>
      <c r="F111" s="105">
        <f>E111*(1+F$13)</f>
        <v>10211181.208850358</v>
      </c>
      <c r="G111" s="105">
        <f t="shared" ref="G111:I111" si="18">F111*(1+G$13)</f>
        <v>10540279.260344192</v>
      </c>
      <c r="H111" s="105">
        <f t="shared" si="18"/>
        <v>10856487.638154518</v>
      </c>
      <c r="I111" s="105">
        <f t="shared" si="18"/>
        <v>11182182.267299153</v>
      </c>
      <c r="J111" s="101"/>
    </row>
    <row r="112" spans="1:10">
      <c r="A112" s="95">
        <v>99</v>
      </c>
      <c r="B112" s="100" t="s">
        <v>1456</v>
      </c>
      <c r="C112" s="99"/>
      <c r="D112" s="99"/>
      <c r="E112" s="99"/>
      <c r="F112" s="99"/>
      <c r="G112" s="99"/>
      <c r="H112" s="99"/>
      <c r="I112" s="99"/>
      <c r="J112" s="98"/>
    </row>
    <row r="113" spans="1:10">
      <c r="A113" s="95">
        <v>100</v>
      </c>
      <c r="B113" s="104" t="s">
        <v>211</v>
      </c>
      <c r="C113" s="106">
        <v>19094363.863395371</v>
      </c>
      <c r="D113" s="106">
        <v>20915556.921997473</v>
      </c>
      <c r="E113" s="105">
        <v>18291728.435837064</v>
      </c>
      <c r="F113" s="105">
        <f>E113*(1+F$13)</f>
        <v>18883420.205942698</v>
      </c>
      <c r="G113" s="105">
        <f t="shared" ref="G113:I114" si="19">F113*(1+G$13)</f>
        <v>19492017.455194209</v>
      </c>
      <c r="H113" s="105">
        <f t="shared" si="19"/>
        <v>20076777.978850037</v>
      </c>
      <c r="I113" s="105">
        <f t="shared" si="19"/>
        <v>20679081.318215538</v>
      </c>
      <c r="J113" s="101"/>
    </row>
    <row r="114" spans="1:10">
      <c r="A114" s="95">
        <v>101</v>
      </c>
      <c r="B114" s="104" t="s">
        <v>212</v>
      </c>
      <c r="C114" s="106">
        <v>63675341.70128911</v>
      </c>
      <c r="D114" s="106">
        <v>60058779.505315274</v>
      </c>
      <c r="E114" s="105">
        <v>59900136.566642277</v>
      </c>
      <c r="F114" s="105">
        <f>E114*(1+F$13)</f>
        <v>61837756.511034578</v>
      </c>
      <c r="G114" s="105">
        <f t="shared" si="19"/>
        <v>63830737.02526667</v>
      </c>
      <c r="H114" s="105">
        <f t="shared" si="19"/>
        <v>65745659.136024669</v>
      </c>
      <c r="I114" s="105">
        <f t="shared" si="19"/>
        <v>67718028.910105407</v>
      </c>
      <c r="J114" s="101"/>
    </row>
    <row r="115" spans="1:10">
      <c r="A115" s="95">
        <v>102</v>
      </c>
      <c r="B115" s="104" t="s">
        <v>213</v>
      </c>
      <c r="C115" s="115">
        <v>0.6</v>
      </c>
      <c r="D115" s="115">
        <v>0.6</v>
      </c>
      <c r="E115" s="115">
        <v>0.6</v>
      </c>
      <c r="F115" s="115">
        <v>0.6</v>
      </c>
      <c r="G115" s="115">
        <v>0.6</v>
      </c>
      <c r="H115" s="115">
        <v>0.6</v>
      </c>
      <c r="I115" s="115">
        <v>0.6</v>
      </c>
      <c r="J115" s="101"/>
    </row>
    <row r="116" spans="1:10">
      <c r="A116" s="95">
        <v>103</v>
      </c>
      <c r="B116" s="104" t="s">
        <v>214</v>
      </c>
      <c r="C116" s="106">
        <v>15527639</v>
      </c>
      <c r="D116" s="106">
        <v>15862604</v>
      </c>
      <c r="E116" s="105">
        <v>16186291</v>
      </c>
      <c r="F116" s="105">
        <f>E116*(1+F$13)</f>
        <v>16709877.122920515</v>
      </c>
      <c r="G116" s="105">
        <f t="shared" ref="G116:I116" si="20">F116*(1+G$13)</f>
        <v>17248422.849353049</v>
      </c>
      <c r="H116" s="105">
        <f t="shared" si="20"/>
        <v>17765875.53483364</v>
      </c>
      <c r="I116" s="105">
        <f t="shared" si="20"/>
        <v>18298851.800878648</v>
      </c>
      <c r="J116" s="101"/>
    </row>
    <row r="117" spans="1:10">
      <c r="A117" s="95">
        <v>104</v>
      </c>
      <c r="B117" s="100" t="s">
        <v>1455</v>
      </c>
      <c r="C117" s="99"/>
      <c r="D117" s="99"/>
      <c r="E117" s="99"/>
      <c r="F117" s="99"/>
      <c r="G117" s="99"/>
      <c r="H117" s="99"/>
      <c r="I117" s="99"/>
      <c r="J117" s="98"/>
    </row>
    <row r="118" spans="1:10">
      <c r="A118" s="95">
        <v>105</v>
      </c>
      <c r="B118" s="100" t="s">
        <v>228</v>
      </c>
      <c r="C118" s="99"/>
      <c r="D118" s="99"/>
      <c r="E118" s="99"/>
      <c r="F118" s="99"/>
      <c r="G118" s="99"/>
      <c r="H118" s="99"/>
      <c r="I118" s="99"/>
      <c r="J118" s="98"/>
    </row>
    <row r="119" spans="1:10">
      <c r="A119" s="95">
        <v>106</v>
      </c>
      <c r="B119" s="113" t="s">
        <v>352</v>
      </c>
      <c r="C119" s="111">
        <v>0</v>
      </c>
      <c r="D119" s="111">
        <v>0</v>
      </c>
      <c r="E119" s="111">
        <f>D119</f>
        <v>0</v>
      </c>
      <c r="F119" s="111">
        <f t="shared" ref="F119:I119" si="21">E119</f>
        <v>0</v>
      </c>
      <c r="G119" s="111">
        <f t="shared" si="21"/>
        <v>0</v>
      </c>
      <c r="H119" s="111">
        <f t="shared" si="21"/>
        <v>0</v>
      </c>
      <c r="I119" s="111">
        <f t="shared" si="21"/>
        <v>0</v>
      </c>
      <c r="J119" s="101"/>
    </row>
    <row r="120" spans="1:10">
      <c r="A120" s="95">
        <v>107</v>
      </c>
      <c r="B120" s="113" t="s">
        <v>353</v>
      </c>
      <c r="C120" s="111"/>
      <c r="D120" s="111"/>
      <c r="E120" s="111">
        <f t="shared" ref="E120:I134" si="22">D120</f>
        <v>0</v>
      </c>
      <c r="F120" s="111">
        <f t="shared" si="22"/>
        <v>0</v>
      </c>
      <c r="G120" s="111">
        <f t="shared" si="22"/>
        <v>0</v>
      </c>
      <c r="H120" s="111">
        <f t="shared" si="22"/>
        <v>0</v>
      </c>
      <c r="I120" s="111">
        <f t="shared" si="22"/>
        <v>0</v>
      </c>
      <c r="J120" s="101"/>
    </row>
    <row r="121" spans="1:10">
      <c r="A121" s="95">
        <v>108</v>
      </c>
      <c r="B121" s="104" t="s">
        <v>354</v>
      </c>
      <c r="C121" s="111"/>
      <c r="D121" s="111"/>
      <c r="E121" s="111">
        <f t="shared" si="22"/>
        <v>0</v>
      </c>
      <c r="F121" s="111">
        <f t="shared" si="22"/>
        <v>0</v>
      </c>
      <c r="G121" s="111">
        <f t="shared" si="22"/>
        <v>0</v>
      </c>
      <c r="H121" s="111">
        <f t="shared" si="22"/>
        <v>0</v>
      </c>
      <c r="I121" s="111">
        <f t="shared" si="22"/>
        <v>0</v>
      </c>
      <c r="J121" s="101"/>
    </row>
    <row r="122" spans="1:10">
      <c r="A122" s="95">
        <v>109</v>
      </c>
      <c r="B122" s="104" t="s">
        <v>355</v>
      </c>
      <c r="C122" s="111">
        <v>0.75</v>
      </c>
      <c r="D122" s="111">
        <v>0.75</v>
      </c>
      <c r="E122" s="111">
        <f t="shared" si="22"/>
        <v>0.75</v>
      </c>
      <c r="F122" s="111">
        <f t="shared" si="22"/>
        <v>0.75</v>
      </c>
      <c r="G122" s="111">
        <f t="shared" si="22"/>
        <v>0.75</v>
      </c>
      <c r="H122" s="111">
        <f t="shared" si="22"/>
        <v>0.75</v>
      </c>
      <c r="I122" s="111">
        <f t="shared" si="22"/>
        <v>0.75</v>
      </c>
      <c r="J122" s="101"/>
    </row>
    <row r="123" spans="1:10">
      <c r="A123" s="95">
        <v>110</v>
      </c>
      <c r="B123" s="104" t="s">
        <v>356</v>
      </c>
      <c r="C123" s="111">
        <v>0.75</v>
      </c>
      <c r="D123" s="111">
        <v>0.75</v>
      </c>
      <c r="E123" s="111">
        <f t="shared" si="22"/>
        <v>0.75</v>
      </c>
      <c r="F123" s="111">
        <f t="shared" si="22"/>
        <v>0.75</v>
      </c>
      <c r="G123" s="111">
        <f t="shared" si="22"/>
        <v>0.75</v>
      </c>
      <c r="H123" s="111">
        <f t="shared" si="22"/>
        <v>0.75</v>
      </c>
      <c r="I123" s="111">
        <f t="shared" si="22"/>
        <v>0.75</v>
      </c>
      <c r="J123" s="101"/>
    </row>
    <row r="124" spans="1:10">
      <c r="A124" s="95">
        <v>111</v>
      </c>
      <c r="B124" s="104" t="s">
        <v>357</v>
      </c>
      <c r="C124" s="111">
        <v>0.75</v>
      </c>
      <c r="D124" s="111">
        <v>0.75</v>
      </c>
      <c r="E124" s="111">
        <f t="shared" si="22"/>
        <v>0.75</v>
      </c>
      <c r="F124" s="111">
        <f t="shared" si="22"/>
        <v>0.75</v>
      </c>
      <c r="G124" s="111">
        <f t="shared" si="22"/>
        <v>0.75</v>
      </c>
      <c r="H124" s="111">
        <f t="shared" si="22"/>
        <v>0.75</v>
      </c>
      <c r="I124" s="111">
        <f t="shared" si="22"/>
        <v>0.75</v>
      </c>
      <c r="J124" s="101"/>
    </row>
    <row r="125" spans="1:10">
      <c r="A125" s="95">
        <v>112</v>
      </c>
      <c r="B125" s="104" t="s">
        <v>358</v>
      </c>
      <c r="C125" s="111">
        <v>0.95</v>
      </c>
      <c r="D125" s="111">
        <v>0.95</v>
      </c>
      <c r="E125" s="111">
        <f t="shared" si="22"/>
        <v>0.95</v>
      </c>
      <c r="F125" s="111">
        <f t="shared" si="22"/>
        <v>0.95</v>
      </c>
      <c r="G125" s="111">
        <f t="shared" si="22"/>
        <v>0.95</v>
      </c>
      <c r="H125" s="111">
        <f t="shared" si="22"/>
        <v>0.95</v>
      </c>
      <c r="I125" s="111">
        <f t="shared" si="22"/>
        <v>0.95</v>
      </c>
      <c r="J125" s="101"/>
    </row>
    <row r="126" spans="1:10">
      <c r="A126" s="95">
        <v>113</v>
      </c>
      <c r="B126" s="104" t="s">
        <v>359</v>
      </c>
      <c r="C126" s="111">
        <v>0.95</v>
      </c>
      <c r="D126" s="111">
        <v>0.95</v>
      </c>
      <c r="E126" s="111">
        <f t="shared" si="22"/>
        <v>0.95</v>
      </c>
      <c r="F126" s="111">
        <f t="shared" si="22"/>
        <v>0.95</v>
      </c>
      <c r="G126" s="111">
        <f t="shared" si="22"/>
        <v>0.95</v>
      </c>
      <c r="H126" s="111">
        <f t="shared" si="22"/>
        <v>0.95</v>
      </c>
      <c r="I126" s="111">
        <f t="shared" si="22"/>
        <v>0.95</v>
      </c>
      <c r="J126" s="101"/>
    </row>
    <row r="127" spans="1:10">
      <c r="A127" s="95">
        <v>114</v>
      </c>
      <c r="B127" s="100" t="s">
        <v>229</v>
      </c>
      <c r="C127" s="99"/>
      <c r="D127" s="99"/>
      <c r="E127" s="114"/>
      <c r="F127" s="114"/>
      <c r="G127" s="114"/>
      <c r="H127" s="114"/>
      <c r="I127" s="114"/>
      <c r="J127" s="98"/>
    </row>
    <row r="128" spans="1:10">
      <c r="A128" s="95">
        <v>115</v>
      </c>
      <c r="B128" s="113" t="s">
        <v>352</v>
      </c>
      <c r="C128" s="108">
        <v>0</v>
      </c>
      <c r="D128" s="108">
        <v>0</v>
      </c>
      <c r="E128" s="111">
        <f t="shared" si="22"/>
        <v>0</v>
      </c>
      <c r="F128" s="111">
        <f t="shared" si="22"/>
        <v>0</v>
      </c>
      <c r="G128" s="111">
        <f t="shared" si="22"/>
        <v>0</v>
      </c>
      <c r="H128" s="111">
        <f t="shared" si="22"/>
        <v>0</v>
      </c>
      <c r="I128" s="111">
        <f t="shared" si="22"/>
        <v>0</v>
      </c>
      <c r="J128" s="101"/>
    </row>
    <row r="129" spans="1:10">
      <c r="A129" s="95">
        <v>116</v>
      </c>
      <c r="B129" s="113" t="s">
        <v>353</v>
      </c>
      <c r="C129" s="108">
        <v>0</v>
      </c>
      <c r="D129" s="108">
        <v>0</v>
      </c>
      <c r="E129" s="111">
        <f t="shared" si="22"/>
        <v>0</v>
      </c>
      <c r="F129" s="111">
        <f t="shared" si="22"/>
        <v>0</v>
      </c>
      <c r="G129" s="111">
        <f t="shared" si="22"/>
        <v>0</v>
      </c>
      <c r="H129" s="111">
        <f t="shared" si="22"/>
        <v>0</v>
      </c>
      <c r="I129" s="111">
        <f t="shared" si="22"/>
        <v>0</v>
      </c>
      <c r="J129" s="101"/>
    </row>
    <row r="130" spans="1:10">
      <c r="A130" s="95">
        <v>117</v>
      </c>
      <c r="B130" s="104" t="s">
        <v>354</v>
      </c>
      <c r="C130" s="108"/>
      <c r="D130" s="108"/>
      <c r="E130" s="111">
        <f t="shared" si="22"/>
        <v>0</v>
      </c>
      <c r="F130" s="111">
        <f t="shared" si="22"/>
        <v>0</v>
      </c>
      <c r="G130" s="111">
        <f t="shared" si="22"/>
        <v>0</v>
      </c>
      <c r="H130" s="111">
        <f t="shared" si="22"/>
        <v>0</v>
      </c>
      <c r="I130" s="111">
        <f t="shared" si="22"/>
        <v>0</v>
      </c>
      <c r="J130" s="101"/>
    </row>
    <row r="131" spans="1:10">
      <c r="A131" s="95">
        <v>118</v>
      </c>
      <c r="B131" s="104" t="s">
        <v>355</v>
      </c>
      <c r="C131" s="108">
        <v>0.75</v>
      </c>
      <c r="D131" s="108">
        <v>0.75</v>
      </c>
      <c r="E131" s="111">
        <f t="shared" si="22"/>
        <v>0.75</v>
      </c>
      <c r="F131" s="111">
        <f t="shared" si="22"/>
        <v>0.75</v>
      </c>
      <c r="G131" s="111">
        <f t="shared" si="22"/>
        <v>0.75</v>
      </c>
      <c r="H131" s="111">
        <f t="shared" si="22"/>
        <v>0.75</v>
      </c>
      <c r="I131" s="111">
        <f t="shared" si="22"/>
        <v>0.75</v>
      </c>
      <c r="J131" s="101"/>
    </row>
    <row r="132" spans="1:10">
      <c r="A132" s="95">
        <v>119</v>
      </c>
      <c r="B132" s="104" t="s">
        <v>356</v>
      </c>
      <c r="C132" s="108">
        <v>0.75</v>
      </c>
      <c r="D132" s="108">
        <v>0.75</v>
      </c>
      <c r="E132" s="111">
        <f t="shared" si="22"/>
        <v>0.75</v>
      </c>
      <c r="F132" s="111">
        <f t="shared" si="22"/>
        <v>0.75</v>
      </c>
      <c r="G132" s="111">
        <f t="shared" si="22"/>
        <v>0.75</v>
      </c>
      <c r="H132" s="111">
        <f t="shared" si="22"/>
        <v>0.75</v>
      </c>
      <c r="I132" s="111">
        <f t="shared" si="22"/>
        <v>0.75</v>
      </c>
      <c r="J132" s="101"/>
    </row>
    <row r="133" spans="1:10">
      <c r="A133" s="95">
        <v>120</v>
      </c>
      <c r="B133" s="104" t="s">
        <v>357</v>
      </c>
      <c r="C133" s="108">
        <v>0.75</v>
      </c>
      <c r="D133" s="108">
        <v>0.75</v>
      </c>
      <c r="E133" s="111">
        <f t="shared" si="22"/>
        <v>0.75</v>
      </c>
      <c r="F133" s="111">
        <f t="shared" si="22"/>
        <v>0.75</v>
      </c>
      <c r="G133" s="111">
        <f t="shared" si="22"/>
        <v>0.75</v>
      </c>
      <c r="H133" s="111">
        <f t="shared" si="22"/>
        <v>0.75</v>
      </c>
      <c r="I133" s="111">
        <f t="shared" si="22"/>
        <v>0.75</v>
      </c>
      <c r="J133" s="101"/>
    </row>
    <row r="134" spans="1:10">
      <c r="A134" s="95">
        <v>121</v>
      </c>
      <c r="B134" s="104" t="s">
        <v>358</v>
      </c>
      <c r="C134" s="108">
        <v>0.95</v>
      </c>
      <c r="D134" s="108">
        <v>0.95</v>
      </c>
      <c r="E134" s="111">
        <f t="shared" si="22"/>
        <v>0.95</v>
      </c>
      <c r="F134" s="111">
        <f t="shared" si="22"/>
        <v>0.95</v>
      </c>
      <c r="G134" s="111">
        <f t="shared" si="22"/>
        <v>0.95</v>
      </c>
      <c r="H134" s="111">
        <f t="shared" si="22"/>
        <v>0.95</v>
      </c>
      <c r="I134" s="111">
        <f t="shared" si="22"/>
        <v>0.95</v>
      </c>
      <c r="J134" s="101"/>
    </row>
    <row r="135" spans="1:10">
      <c r="A135" s="95">
        <v>122</v>
      </c>
      <c r="B135" s="100" t="s">
        <v>230</v>
      </c>
      <c r="C135" s="99"/>
      <c r="D135" s="99"/>
      <c r="E135" s="114"/>
      <c r="F135" s="114"/>
      <c r="G135" s="114"/>
      <c r="H135" s="114"/>
      <c r="I135" s="114"/>
      <c r="J135" s="98"/>
    </row>
    <row r="136" spans="1:10">
      <c r="A136" s="95">
        <v>123</v>
      </c>
      <c r="B136" s="113" t="s">
        <v>352</v>
      </c>
      <c r="C136" s="108">
        <v>0</v>
      </c>
      <c r="D136" s="108">
        <v>0</v>
      </c>
      <c r="E136" s="108">
        <f>D136</f>
        <v>0</v>
      </c>
      <c r="F136" s="108">
        <f t="shared" ref="F136:I136" si="23">E136</f>
        <v>0</v>
      </c>
      <c r="G136" s="108">
        <f t="shared" si="23"/>
        <v>0</v>
      </c>
      <c r="H136" s="108">
        <f t="shared" si="23"/>
        <v>0</v>
      </c>
      <c r="I136" s="108">
        <f t="shared" si="23"/>
        <v>0</v>
      </c>
      <c r="J136" s="101"/>
    </row>
    <row r="137" spans="1:10">
      <c r="A137" s="95">
        <v>124</v>
      </c>
      <c r="B137" s="113" t="s">
        <v>353</v>
      </c>
      <c r="C137" s="108">
        <v>0.36</v>
      </c>
      <c r="D137" s="108">
        <v>0.36</v>
      </c>
      <c r="E137" s="108">
        <f t="shared" ref="E137:I141" si="24">D137</f>
        <v>0.36</v>
      </c>
      <c r="F137" s="108">
        <f t="shared" si="24"/>
        <v>0.36</v>
      </c>
      <c r="G137" s="108">
        <f t="shared" si="24"/>
        <v>0.36</v>
      </c>
      <c r="H137" s="108">
        <f t="shared" si="24"/>
        <v>0.36</v>
      </c>
      <c r="I137" s="108">
        <f t="shared" si="24"/>
        <v>0.36</v>
      </c>
      <c r="J137" s="101"/>
    </row>
    <row r="138" spans="1:10">
      <c r="A138" s="95">
        <v>125</v>
      </c>
      <c r="B138" s="104" t="s">
        <v>354</v>
      </c>
      <c r="C138" s="108">
        <v>0.36</v>
      </c>
      <c r="D138" s="108">
        <v>0.36</v>
      </c>
      <c r="E138" s="108">
        <f t="shared" si="24"/>
        <v>0.36</v>
      </c>
      <c r="F138" s="108">
        <f t="shared" si="24"/>
        <v>0.36</v>
      </c>
      <c r="G138" s="108">
        <f t="shared" si="24"/>
        <v>0.36</v>
      </c>
      <c r="H138" s="108">
        <f t="shared" si="24"/>
        <v>0.36</v>
      </c>
      <c r="I138" s="108">
        <f t="shared" si="24"/>
        <v>0.36</v>
      </c>
      <c r="J138" s="101"/>
    </row>
    <row r="139" spans="1:10">
      <c r="A139" s="95">
        <v>126</v>
      </c>
      <c r="B139" s="104" t="s">
        <v>355</v>
      </c>
      <c r="C139" s="108">
        <v>0.91</v>
      </c>
      <c r="D139" s="108">
        <v>0.91</v>
      </c>
      <c r="E139" s="108">
        <f t="shared" si="24"/>
        <v>0.91</v>
      </c>
      <c r="F139" s="108">
        <f t="shared" si="24"/>
        <v>0.91</v>
      </c>
      <c r="G139" s="108">
        <f t="shared" si="24"/>
        <v>0.91</v>
      </c>
      <c r="H139" s="108">
        <f t="shared" si="24"/>
        <v>0.91</v>
      </c>
      <c r="I139" s="108">
        <f t="shared" si="24"/>
        <v>0.91</v>
      </c>
      <c r="J139" s="101"/>
    </row>
    <row r="140" spans="1:10">
      <c r="A140" s="95">
        <v>127</v>
      </c>
      <c r="B140" s="104" t="s">
        <v>356</v>
      </c>
      <c r="C140" s="108">
        <v>0.91</v>
      </c>
      <c r="D140" s="108">
        <v>0.91</v>
      </c>
      <c r="E140" s="108">
        <f t="shared" si="24"/>
        <v>0.91</v>
      </c>
      <c r="F140" s="108">
        <f t="shared" si="24"/>
        <v>0.91</v>
      </c>
      <c r="G140" s="108">
        <f t="shared" si="24"/>
        <v>0.91</v>
      </c>
      <c r="H140" s="108">
        <f t="shared" si="24"/>
        <v>0.91</v>
      </c>
      <c r="I140" s="108">
        <f t="shared" si="24"/>
        <v>0.91</v>
      </c>
      <c r="J140" s="101"/>
    </row>
    <row r="141" spans="1:10">
      <c r="A141" s="95">
        <v>128</v>
      </c>
      <c r="B141" s="104" t="s">
        <v>357</v>
      </c>
      <c r="C141" s="108">
        <v>0.91</v>
      </c>
      <c r="D141" s="108">
        <v>0.91</v>
      </c>
      <c r="E141" s="108">
        <f t="shared" si="24"/>
        <v>0.91</v>
      </c>
      <c r="F141" s="108">
        <f t="shared" si="24"/>
        <v>0.91</v>
      </c>
      <c r="G141" s="108">
        <f t="shared" si="24"/>
        <v>0.91</v>
      </c>
      <c r="H141" s="108">
        <f t="shared" si="24"/>
        <v>0.91</v>
      </c>
      <c r="I141" s="108">
        <f t="shared" si="24"/>
        <v>0.91</v>
      </c>
      <c r="J141" s="101"/>
    </row>
    <row r="142" spans="1:10">
      <c r="A142" s="95">
        <v>129</v>
      </c>
      <c r="B142" s="100" t="s">
        <v>231</v>
      </c>
      <c r="C142" s="99"/>
      <c r="D142" s="99"/>
      <c r="E142" s="114"/>
      <c r="F142" s="114"/>
      <c r="G142" s="114"/>
      <c r="H142" s="114"/>
      <c r="I142" s="114"/>
      <c r="J142" s="98"/>
    </row>
    <row r="143" spans="1:10">
      <c r="A143" s="95">
        <v>130</v>
      </c>
      <c r="B143" s="113" t="s">
        <v>352</v>
      </c>
      <c r="C143" s="108">
        <v>0</v>
      </c>
      <c r="D143" s="108">
        <v>0</v>
      </c>
      <c r="E143" s="108">
        <f>D143</f>
        <v>0</v>
      </c>
      <c r="F143" s="108">
        <f t="shared" ref="F143:I143" si="25">E143</f>
        <v>0</v>
      </c>
      <c r="G143" s="108">
        <f t="shared" si="25"/>
        <v>0</v>
      </c>
      <c r="H143" s="108">
        <f t="shared" si="25"/>
        <v>0</v>
      </c>
      <c r="I143" s="108">
        <f t="shared" si="25"/>
        <v>0</v>
      </c>
      <c r="J143" s="101"/>
    </row>
    <row r="144" spans="1:10">
      <c r="A144" s="95">
        <v>131</v>
      </c>
      <c r="B144" s="113" t="s">
        <v>353</v>
      </c>
      <c r="C144" s="108">
        <v>0.36</v>
      </c>
      <c r="D144" s="108">
        <v>0.36</v>
      </c>
      <c r="E144" s="108">
        <f t="shared" ref="E144:I146" si="26">D144</f>
        <v>0.36</v>
      </c>
      <c r="F144" s="108">
        <f t="shared" si="26"/>
        <v>0.36</v>
      </c>
      <c r="G144" s="108">
        <f t="shared" si="26"/>
        <v>0.36</v>
      </c>
      <c r="H144" s="108">
        <f t="shared" si="26"/>
        <v>0.36</v>
      </c>
      <c r="I144" s="108">
        <f t="shared" si="26"/>
        <v>0.36</v>
      </c>
      <c r="J144" s="101"/>
    </row>
    <row r="145" spans="1:10">
      <c r="A145" s="95">
        <v>132</v>
      </c>
      <c r="B145" s="104" t="s">
        <v>354</v>
      </c>
      <c r="C145" s="108">
        <v>0.36</v>
      </c>
      <c r="D145" s="108">
        <v>0.36</v>
      </c>
      <c r="E145" s="108">
        <f t="shared" si="26"/>
        <v>0.36</v>
      </c>
      <c r="F145" s="108">
        <f t="shared" si="26"/>
        <v>0.36</v>
      </c>
      <c r="G145" s="108">
        <f t="shared" si="26"/>
        <v>0.36</v>
      </c>
      <c r="H145" s="108">
        <f t="shared" si="26"/>
        <v>0.36</v>
      </c>
      <c r="I145" s="108">
        <f t="shared" si="26"/>
        <v>0.36</v>
      </c>
      <c r="J145" s="101"/>
    </row>
    <row r="146" spans="1:10">
      <c r="A146" s="95">
        <v>133</v>
      </c>
      <c r="B146" s="104" t="s">
        <v>355</v>
      </c>
      <c r="C146" s="108">
        <v>0.91</v>
      </c>
      <c r="D146" s="108">
        <v>0.91</v>
      </c>
      <c r="E146" s="108">
        <f t="shared" si="26"/>
        <v>0.91</v>
      </c>
      <c r="F146" s="108">
        <f t="shared" si="26"/>
        <v>0.91</v>
      </c>
      <c r="G146" s="108">
        <f t="shared" si="26"/>
        <v>0.91</v>
      </c>
      <c r="H146" s="108">
        <f t="shared" si="26"/>
        <v>0.91</v>
      </c>
      <c r="I146" s="108">
        <f t="shared" si="26"/>
        <v>0.91</v>
      </c>
      <c r="J146" s="101"/>
    </row>
    <row r="147" spans="1:10">
      <c r="A147" s="95">
        <v>134</v>
      </c>
      <c r="B147" s="100" t="s">
        <v>1454</v>
      </c>
      <c r="C147" s="99"/>
      <c r="D147" s="99"/>
      <c r="E147" s="99"/>
      <c r="F147" s="99"/>
      <c r="G147" s="99"/>
      <c r="H147" s="99"/>
      <c r="I147" s="99"/>
      <c r="J147" s="98"/>
    </row>
    <row r="148" spans="1:10">
      <c r="A148" s="95">
        <v>135</v>
      </c>
      <c r="B148" s="110" t="s">
        <v>1449</v>
      </c>
      <c r="C148" s="99"/>
      <c r="D148" s="99"/>
      <c r="E148" s="99"/>
      <c r="F148" s="99"/>
      <c r="G148" s="99"/>
      <c r="H148" s="99"/>
      <c r="I148" s="99"/>
      <c r="J148" s="98"/>
    </row>
    <row r="149" spans="1:10">
      <c r="A149" s="95">
        <v>136</v>
      </c>
      <c r="B149" s="104" t="s">
        <v>92</v>
      </c>
      <c r="C149" s="108"/>
      <c r="D149" s="108"/>
      <c r="E149" s="107">
        <f>'Smoothed Input Details'!K70</f>
        <v>0.11298330820969384</v>
      </c>
      <c r="F149" s="107">
        <f>E149</f>
        <v>0.11298330820969384</v>
      </c>
      <c r="G149" s="107">
        <f t="shared" ref="G149:I149" si="27">F149</f>
        <v>0.11298330820969384</v>
      </c>
      <c r="H149" s="107">
        <f t="shared" si="27"/>
        <v>0.11298330820969384</v>
      </c>
      <c r="I149" s="107">
        <f t="shared" si="27"/>
        <v>0.11298330820969384</v>
      </c>
      <c r="J149" s="101"/>
    </row>
    <row r="150" spans="1:10">
      <c r="A150" s="95">
        <v>137</v>
      </c>
      <c r="B150" s="104" t="s">
        <v>93</v>
      </c>
      <c r="C150" s="108">
        <v>0.12724301623011972</v>
      </c>
      <c r="D150" s="108">
        <v>0.1338086689645393</v>
      </c>
      <c r="E150" s="107">
        <f>'Smoothed Input Details'!K71</f>
        <v>0.13327131053018113</v>
      </c>
      <c r="F150" s="107">
        <f t="shared" ref="F150:I153" si="28">E150</f>
        <v>0.13327131053018113</v>
      </c>
      <c r="G150" s="107">
        <f t="shared" si="28"/>
        <v>0.13327131053018113</v>
      </c>
      <c r="H150" s="107">
        <f t="shared" si="28"/>
        <v>0.13327131053018113</v>
      </c>
      <c r="I150" s="107">
        <f t="shared" si="28"/>
        <v>0.13327131053018113</v>
      </c>
      <c r="J150" s="101"/>
    </row>
    <row r="151" spans="1:10">
      <c r="A151" s="95">
        <v>138</v>
      </c>
      <c r="B151" s="104" t="s">
        <v>129</v>
      </c>
      <c r="C151" s="108">
        <v>0</v>
      </c>
      <c r="D151" s="108">
        <v>4.2563886797937947E-7</v>
      </c>
      <c r="E151" s="107">
        <f>'Smoothed Input Details'!K72</f>
        <v>2.8375924531958633E-7</v>
      </c>
      <c r="F151" s="107">
        <f t="shared" si="28"/>
        <v>2.8375924531958633E-7</v>
      </c>
      <c r="G151" s="107">
        <f t="shared" si="28"/>
        <v>2.8375924531958633E-7</v>
      </c>
      <c r="H151" s="107">
        <f t="shared" si="28"/>
        <v>2.8375924531958633E-7</v>
      </c>
      <c r="I151" s="107">
        <f t="shared" si="28"/>
        <v>2.8375924531958633E-7</v>
      </c>
      <c r="J151" s="101"/>
    </row>
    <row r="152" spans="1:10">
      <c r="A152" s="95">
        <v>139</v>
      </c>
      <c r="B152" s="104" t="s">
        <v>94</v>
      </c>
      <c r="C152" s="108"/>
      <c r="D152" s="108"/>
      <c r="E152" s="107">
        <f>'Smoothed Input Details'!K73</f>
        <v>7.1203946559325326E-2</v>
      </c>
      <c r="F152" s="107">
        <f t="shared" si="28"/>
        <v>7.1203946559325326E-2</v>
      </c>
      <c r="G152" s="107">
        <f t="shared" si="28"/>
        <v>7.1203946559325326E-2</v>
      </c>
      <c r="H152" s="107">
        <f t="shared" si="28"/>
        <v>7.1203946559325326E-2</v>
      </c>
      <c r="I152" s="107">
        <f t="shared" si="28"/>
        <v>7.1203946559325326E-2</v>
      </c>
      <c r="J152" s="101"/>
    </row>
    <row r="153" spans="1:10">
      <c r="A153" s="95">
        <v>140</v>
      </c>
      <c r="B153" s="104" t="s">
        <v>95</v>
      </c>
      <c r="C153" s="108">
        <v>9.7570951428159428E-2</v>
      </c>
      <c r="D153" s="108">
        <v>9.7417303500724237E-2</v>
      </c>
      <c r="E153" s="107">
        <f>'Smoothed Input Details'!K74</f>
        <v>9.7838540209257197E-2</v>
      </c>
      <c r="F153" s="107">
        <f>E153</f>
        <v>9.7838540209257197E-2</v>
      </c>
      <c r="G153" s="107">
        <f t="shared" si="28"/>
        <v>9.7838540209257197E-2</v>
      </c>
      <c r="H153" s="107">
        <f t="shared" si="28"/>
        <v>9.7838540209257197E-2</v>
      </c>
      <c r="I153" s="107">
        <f t="shared" si="28"/>
        <v>9.7838540209257197E-2</v>
      </c>
      <c r="J153" s="101"/>
    </row>
    <row r="154" spans="1:10">
      <c r="A154" s="95">
        <v>141</v>
      </c>
      <c r="B154" s="104" t="s">
        <v>130</v>
      </c>
      <c r="C154" s="108">
        <v>0</v>
      </c>
      <c r="D154" s="108">
        <v>2.9629446132149029E-5</v>
      </c>
      <c r="E154" s="107">
        <f>'Smoothed Input Details'!K75</f>
        <v>8.9699691483682498E-5</v>
      </c>
      <c r="F154" s="107">
        <f t="shared" ref="F154:I157" si="29">E154</f>
        <v>8.9699691483682498E-5</v>
      </c>
      <c r="G154" s="107">
        <f t="shared" si="29"/>
        <v>8.9699691483682498E-5</v>
      </c>
      <c r="H154" s="107">
        <f t="shared" si="29"/>
        <v>8.9699691483682498E-5</v>
      </c>
      <c r="I154" s="107">
        <f t="shared" si="29"/>
        <v>8.9699691483682498E-5</v>
      </c>
      <c r="J154" s="101"/>
    </row>
    <row r="155" spans="1:10">
      <c r="A155" s="95">
        <v>142</v>
      </c>
      <c r="B155" s="104" t="s">
        <v>96</v>
      </c>
      <c r="C155" s="108">
        <v>9.8995503030844992E-2</v>
      </c>
      <c r="D155" s="108">
        <v>9.967582638650517E-2</v>
      </c>
      <c r="E155" s="107">
        <f>'Smoothed Input Details'!K76</f>
        <v>0.10118214285683957</v>
      </c>
      <c r="F155" s="107">
        <f t="shared" si="29"/>
        <v>0.10118214285683957</v>
      </c>
      <c r="G155" s="107">
        <f t="shared" si="29"/>
        <v>0.10118214285683957</v>
      </c>
      <c r="H155" s="107">
        <f t="shared" si="29"/>
        <v>0.10118214285683957</v>
      </c>
      <c r="I155" s="107">
        <f t="shared" si="29"/>
        <v>0.10118214285683957</v>
      </c>
      <c r="J155" s="101"/>
    </row>
    <row r="156" spans="1:10">
      <c r="A156" s="95">
        <v>143</v>
      </c>
      <c r="B156" s="104" t="s">
        <v>97</v>
      </c>
      <c r="C156" s="108">
        <v>9.8995503030844992E-2</v>
      </c>
      <c r="D156" s="108">
        <v>9.967582638650517E-2</v>
      </c>
      <c r="E156" s="107">
        <f>'Smoothed Input Details'!K77</f>
        <v>9.9173095445870232E-2</v>
      </c>
      <c r="F156" s="107">
        <f t="shared" si="29"/>
        <v>9.9173095445870232E-2</v>
      </c>
      <c r="G156" s="107">
        <f t="shared" si="29"/>
        <v>9.9173095445870232E-2</v>
      </c>
      <c r="H156" s="107">
        <f t="shared" si="29"/>
        <v>9.9173095445870232E-2</v>
      </c>
      <c r="I156" s="107">
        <f t="shared" si="29"/>
        <v>9.9173095445870232E-2</v>
      </c>
      <c r="J156" s="101"/>
    </row>
    <row r="157" spans="1:10">
      <c r="A157" s="95">
        <v>144</v>
      </c>
      <c r="B157" s="104" t="s">
        <v>110</v>
      </c>
      <c r="C157" s="108">
        <v>9.7408403706684341E-2</v>
      </c>
      <c r="D157" s="108">
        <v>9.7999687718530182E-2</v>
      </c>
      <c r="E157" s="107">
        <f>'Smoothed Input Details'!K78</f>
        <v>9.9001646523263931E-2</v>
      </c>
      <c r="F157" s="107">
        <f t="shared" si="29"/>
        <v>9.9001646523263931E-2</v>
      </c>
      <c r="G157" s="107">
        <f t="shared" si="29"/>
        <v>9.9001646523263931E-2</v>
      </c>
      <c r="H157" s="107">
        <f t="shared" si="29"/>
        <v>9.9001646523263931E-2</v>
      </c>
      <c r="I157" s="107">
        <f t="shared" si="29"/>
        <v>9.9001646523263931E-2</v>
      </c>
      <c r="J157" s="101"/>
    </row>
    <row r="158" spans="1:10">
      <c r="A158" s="95">
        <v>145</v>
      </c>
      <c r="B158" s="110" t="s">
        <v>1448</v>
      </c>
      <c r="C158" s="109"/>
      <c r="D158" s="109"/>
      <c r="E158" s="109"/>
      <c r="F158" s="109"/>
      <c r="G158" s="109"/>
      <c r="H158" s="109"/>
      <c r="I158" s="109"/>
      <c r="J158" s="98"/>
    </row>
    <row r="159" spans="1:10">
      <c r="A159" s="95">
        <v>146</v>
      </c>
      <c r="B159" s="104" t="s">
        <v>92</v>
      </c>
      <c r="C159" s="108"/>
      <c r="D159" s="108"/>
      <c r="E159" s="107">
        <f>'Smoothed Input Details'!L70</f>
        <v>0.50223801835264836</v>
      </c>
      <c r="F159" s="107">
        <f>E159</f>
        <v>0.50223801835264836</v>
      </c>
      <c r="G159" s="107">
        <f t="shared" ref="G159:I159" si="30">F159</f>
        <v>0.50223801835264836</v>
      </c>
      <c r="H159" s="107">
        <f t="shared" si="30"/>
        <v>0.50223801835264836</v>
      </c>
      <c r="I159" s="107">
        <f t="shared" si="30"/>
        <v>0.50223801835264836</v>
      </c>
      <c r="J159" s="101"/>
    </row>
    <row r="160" spans="1:10">
      <c r="A160" s="95">
        <v>147</v>
      </c>
      <c r="B160" s="104" t="s">
        <v>93</v>
      </c>
      <c r="C160" s="108">
        <v>0.56001922157034734</v>
      </c>
      <c r="D160" s="108">
        <v>0.57672627617387517</v>
      </c>
      <c r="E160" s="107">
        <f>'Smoothed Input Details'!L71</f>
        <v>0.57760793092211993</v>
      </c>
      <c r="F160" s="107">
        <f t="shared" ref="F160:I163" si="31">E160</f>
        <v>0.57760793092211993</v>
      </c>
      <c r="G160" s="107">
        <f t="shared" si="31"/>
        <v>0.57760793092211993</v>
      </c>
      <c r="H160" s="107">
        <f t="shared" si="31"/>
        <v>0.57760793092211993</v>
      </c>
      <c r="I160" s="107">
        <f t="shared" si="31"/>
        <v>0.57760793092211993</v>
      </c>
      <c r="J160" s="101"/>
    </row>
    <row r="161" spans="1:10">
      <c r="A161" s="95">
        <v>148</v>
      </c>
      <c r="B161" s="104" t="s">
        <v>129</v>
      </c>
      <c r="C161" s="108">
        <v>0.13624064426420868</v>
      </c>
      <c r="D161" s="108">
        <v>0.16496306669276642</v>
      </c>
      <c r="E161" s="107">
        <f>'Smoothed Input Details'!L72</f>
        <v>0.16926612955281603</v>
      </c>
      <c r="F161" s="107">
        <f t="shared" si="31"/>
        <v>0.16926612955281603</v>
      </c>
      <c r="G161" s="107">
        <f t="shared" si="31"/>
        <v>0.16926612955281603</v>
      </c>
      <c r="H161" s="107">
        <f t="shared" si="31"/>
        <v>0.16926612955281603</v>
      </c>
      <c r="I161" s="107">
        <f t="shared" si="31"/>
        <v>0.16926612955281603</v>
      </c>
      <c r="J161" s="101"/>
    </row>
    <row r="162" spans="1:10">
      <c r="A162" s="95">
        <v>149</v>
      </c>
      <c r="B162" s="104" t="s">
        <v>94</v>
      </c>
      <c r="C162" s="108"/>
      <c r="D162" s="108"/>
      <c r="E162" s="107">
        <f>'Smoothed Input Details'!L73</f>
        <v>0.58452126520102876</v>
      </c>
      <c r="F162" s="107">
        <f t="shared" si="31"/>
        <v>0.58452126520102876</v>
      </c>
      <c r="G162" s="107">
        <f t="shared" si="31"/>
        <v>0.58452126520102876</v>
      </c>
      <c r="H162" s="107">
        <f t="shared" si="31"/>
        <v>0.58452126520102876</v>
      </c>
      <c r="I162" s="107">
        <f t="shared" si="31"/>
        <v>0.58452126520102876</v>
      </c>
      <c r="J162" s="101"/>
    </row>
    <row r="163" spans="1:10">
      <c r="A163" s="95">
        <v>150</v>
      </c>
      <c r="B163" s="104" t="s">
        <v>95</v>
      </c>
      <c r="C163" s="108">
        <v>0.65455030574702189</v>
      </c>
      <c r="D163" s="108">
        <v>0.65165376639574168</v>
      </c>
      <c r="E163" s="107">
        <f>'Smoothed Input Details'!L74</f>
        <v>0.65520507591280774</v>
      </c>
      <c r="F163" s="107">
        <f>E163</f>
        <v>0.65520507591280774</v>
      </c>
      <c r="G163" s="107">
        <f t="shared" si="31"/>
        <v>0.65520507591280774</v>
      </c>
      <c r="H163" s="107">
        <f t="shared" si="31"/>
        <v>0.65520507591280774</v>
      </c>
      <c r="I163" s="107">
        <f t="shared" si="31"/>
        <v>0.65520507591280774</v>
      </c>
      <c r="J163" s="101"/>
    </row>
    <row r="164" spans="1:10">
      <c r="A164" s="95">
        <v>151</v>
      </c>
      <c r="B164" s="104" t="s">
        <v>130</v>
      </c>
      <c r="C164" s="108">
        <v>0.16662483431442296</v>
      </c>
      <c r="D164" s="108">
        <v>0.17392434592192563</v>
      </c>
      <c r="E164" s="107">
        <f>'Smoothed Input Details'!L75</f>
        <v>0.17771579837582263</v>
      </c>
      <c r="F164" s="107">
        <f t="shared" ref="F164:I167" si="32">E164</f>
        <v>0.17771579837582263</v>
      </c>
      <c r="G164" s="107">
        <f t="shared" si="32"/>
        <v>0.17771579837582263</v>
      </c>
      <c r="H164" s="107">
        <f t="shared" si="32"/>
        <v>0.17771579837582263</v>
      </c>
      <c r="I164" s="107">
        <f t="shared" si="32"/>
        <v>0.17771579837582263</v>
      </c>
      <c r="J164" s="101"/>
    </row>
    <row r="165" spans="1:10">
      <c r="A165" s="95">
        <v>152</v>
      </c>
      <c r="B165" s="104" t="s">
        <v>96</v>
      </c>
      <c r="C165" s="108">
        <v>0.65971909345591884</v>
      </c>
      <c r="D165" s="108">
        <v>0.65550259999056648</v>
      </c>
      <c r="E165" s="107">
        <f>'Smoothed Input Details'!L76</f>
        <v>0.66091965296388588</v>
      </c>
      <c r="F165" s="107">
        <f t="shared" si="32"/>
        <v>0.66091965296388588</v>
      </c>
      <c r="G165" s="107">
        <f t="shared" si="32"/>
        <v>0.66091965296388588</v>
      </c>
      <c r="H165" s="107">
        <f t="shared" si="32"/>
        <v>0.66091965296388588</v>
      </c>
      <c r="I165" s="107">
        <f t="shared" si="32"/>
        <v>0.66091965296388588</v>
      </c>
      <c r="J165" s="101"/>
    </row>
    <row r="166" spans="1:10">
      <c r="A166" s="95">
        <v>153</v>
      </c>
      <c r="B166" s="104" t="s">
        <v>97</v>
      </c>
      <c r="C166" s="108">
        <v>0.65971909345591884</v>
      </c>
      <c r="D166" s="108">
        <v>0.65550259999056648</v>
      </c>
      <c r="E166" s="107">
        <f>'Smoothed Input Details'!L77</f>
        <v>0.66646341204630843</v>
      </c>
      <c r="F166" s="107">
        <f t="shared" si="32"/>
        <v>0.66646341204630843</v>
      </c>
      <c r="G166" s="107">
        <f t="shared" si="32"/>
        <v>0.66646341204630843</v>
      </c>
      <c r="H166" s="107">
        <f t="shared" si="32"/>
        <v>0.66646341204630843</v>
      </c>
      <c r="I166" s="107">
        <f t="shared" si="32"/>
        <v>0.66646341204630843</v>
      </c>
      <c r="J166" s="101"/>
    </row>
    <row r="167" spans="1:10">
      <c r="A167" s="95">
        <v>154</v>
      </c>
      <c r="B167" s="104" t="s">
        <v>110</v>
      </c>
      <c r="C167" s="108">
        <v>0.69823573519047721</v>
      </c>
      <c r="D167" s="108">
        <v>0.68888093799227235</v>
      </c>
      <c r="E167" s="107">
        <f>'Smoothed Input Details'!L78</f>
        <v>0.69464097956994497</v>
      </c>
      <c r="F167" s="107">
        <f t="shared" si="32"/>
        <v>0.69464097956994497</v>
      </c>
      <c r="G167" s="107">
        <f t="shared" si="32"/>
        <v>0.69464097956994497</v>
      </c>
      <c r="H167" s="107">
        <f t="shared" si="32"/>
        <v>0.69464097956994497</v>
      </c>
      <c r="I167" s="107">
        <f t="shared" si="32"/>
        <v>0.69464097956994497</v>
      </c>
      <c r="J167" s="101"/>
    </row>
    <row r="168" spans="1:10">
      <c r="A168" s="95">
        <v>155</v>
      </c>
      <c r="B168" s="110" t="s">
        <v>1447</v>
      </c>
      <c r="C168" s="109"/>
      <c r="D168" s="109"/>
      <c r="E168" s="109"/>
      <c r="F168" s="109"/>
      <c r="G168" s="109"/>
      <c r="H168" s="109"/>
      <c r="I168" s="109"/>
      <c r="J168" s="98"/>
    </row>
    <row r="169" spans="1:10">
      <c r="A169" s="95">
        <v>156</v>
      </c>
      <c r="B169" s="104" t="s">
        <v>92</v>
      </c>
      <c r="C169" s="108"/>
      <c r="D169" s="108"/>
      <c r="E169" s="107">
        <f>'Smoothed Input Details'!M70</f>
        <v>0.38477867343765787</v>
      </c>
      <c r="F169" s="107">
        <f>E169</f>
        <v>0.38477867343765787</v>
      </c>
      <c r="G169" s="107">
        <f t="shared" ref="G169:I169" si="33">F169</f>
        <v>0.38477867343765787</v>
      </c>
      <c r="H169" s="107">
        <f t="shared" si="33"/>
        <v>0.38477867343765787</v>
      </c>
      <c r="I169" s="107">
        <f t="shared" si="33"/>
        <v>0.38477867343765787</v>
      </c>
      <c r="J169" s="101"/>
    </row>
    <row r="170" spans="1:10">
      <c r="A170" s="95">
        <v>157</v>
      </c>
      <c r="B170" s="104" t="s">
        <v>93</v>
      </c>
      <c r="C170" s="108">
        <v>0.31273776219953303</v>
      </c>
      <c r="D170" s="108">
        <v>0.28946505486158564</v>
      </c>
      <c r="E170" s="107">
        <f>'Smoothed Input Details'!M71</f>
        <v>0.28912075854769903</v>
      </c>
      <c r="F170" s="107">
        <f t="shared" ref="F170:I173" si="34">E170</f>
        <v>0.28912075854769903</v>
      </c>
      <c r="G170" s="107">
        <f t="shared" si="34"/>
        <v>0.28912075854769903</v>
      </c>
      <c r="H170" s="107">
        <f t="shared" si="34"/>
        <v>0.28912075854769903</v>
      </c>
      <c r="I170" s="107">
        <f t="shared" si="34"/>
        <v>0.28912075854769903</v>
      </c>
      <c r="J170" s="101"/>
    </row>
    <row r="171" spans="1:10">
      <c r="A171" s="95">
        <v>158</v>
      </c>
      <c r="B171" s="104" t="s">
        <v>129</v>
      </c>
      <c r="C171" s="108">
        <v>0.86375935573579132</v>
      </c>
      <c r="D171" s="108">
        <v>0.83503664954798829</v>
      </c>
      <c r="E171" s="107">
        <f>'Smoothed Input Details'!M72</f>
        <v>0.83073358668793862</v>
      </c>
      <c r="F171" s="107">
        <f t="shared" si="34"/>
        <v>0.83073358668793862</v>
      </c>
      <c r="G171" s="107">
        <f t="shared" si="34"/>
        <v>0.83073358668793862</v>
      </c>
      <c r="H171" s="107">
        <f t="shared" si="34"/>
        <v>0.83073358668793862</v>
      </c>
      <c r="I171" s="107">
        <f t="shared" si="34"/>
        <v>0.83073358668793862</v>
      </c>
      <c r="J171" s="101"/>
    </row>
    <row r="172" spans="1:10">
      <c r="A172" s="95">
        <v>159</v>
      </c>
      <c r="B172" s="104" t="s">
        <v>94</v>
      </c>
      <c r="C172" s="108"/>
      <c r="D172" s="108"/>
      <c r="E172" s="107">
        <f>'Smoothed Input Details'!M73</f>
        <v>0.3442747882396458</v>
      </c>
      <c r="F172" s="107">
        <f t="shared" si="34"/>
        <v>0.3442747882396458</v>
      </c>
      <c r="G172" s="107">
        <f t="shared" si="34"/>
        <v>0.3442747882396458</v>
      </c>
      <c r="H172" s="107">
        <f t="shared" si="34"/>
        <v>0.3442747882396458</v>
      </c>
      <c r="I172" s="107">
        <f t="shared" si="34"/>
        <v>0.3442747882396458</v>
      </c>
      <c r="J172" s="101"/>
    </row>
    <row r="173" spans="1:10">
      <c r="A173" s="95">
        <v>160</v>
      </c>
      <c r="B173" s="104" t="s">
        <v>95</v>
      </c>
      <c r="C173" s="108">
        <v>0.24787874282481867</v>
      </c>
      <c r="D173" s="108">
        <v>0.25092893010353395</v>
      </c>
      <c r="E173" s="107">
        <f>'Smoothed Input Details'!M74</f>
        <v>0.24695638387793503</v>
      </c>
      <c r="F173" s="107">
        <f>E173</f>
        <v>0.24695638387793503</v>
      </c>
      <c r="G173" s="107">
        <f t="shared" si="34"/>
        <v>0.24695638387793503</v>
      </c>
      <c r="H173" s="107">
        <f t="shared" si="34"/>
        <v>0.24695638387793503</v>
      </c>
      <c r="I173" s="107">
        <f t="shared" si="34"/>
        <v>0.24695638387793503</v>
      </c>
      <c r="J173" s="101"/>
    </row>
    <row r="174" spans="1:10">
      <c r="A174" s="95">
        <v>161</v>
      </c>
      <c r="B174" s="104" t="s">
        <v>130</v>
      </c>
      <c r="C174" s="108">
        <v>0.83337516568557712</v>
      </c>
      <c r="D174" s="108">
        <v>0.82604602463194221</v>
      </c>
      <c r="E174" s="107">
        <f>'Smoothed Input Details'!M75</f>
        <v>0.82219450193269361</v>
      </c>
      <c r="F174" s="107">
        <f t="shared" ref="F174:I177" si="35">E174</f>
        <v>0.82219450193269361</v>
      </c>
      <c r="G174" s="107">
        <f t="shared" si="35"/>
        <v>0.82219450193269361</v>
      </c>
      <c r="H174" s="107">
        <f t="shared" si="35"/>
        <v>0.82219450193269361</v>
      </c>
      <c r="I174" s="107">
        <f t="shared" si="35"/>
        <v>0.82219450193269361</v>
      </c>
      <c r="J174" s="101"/>
    </row>
    <row r="175" spans="1:10">
      <c r="A175" s="95">
        <v>162</v>
      </c>
      <c r="B175" s="104" t="s">
        <v>96</v>
      </c>
      <c r="C175" s="108">
        <v>0.24128540351323613</v>
      </c>
      <c r="D175" s="108">
        <v>0.24482157362292845</v>
      </c>
      <c r="E175" s="107">
        <f>'Smoothed Input Details'!M76</f>
        <v>0.23789820417927454</v>
      </c>
      <c r="F175" s="107">
        <f t="shared" si="35"/>
        <v>0.23789820417927454</v>
      </c>
      <c r="G175" s="107">
        <f t="shared" si="35"/>
        <v>0.23789820417927454</v>
      </c>
      <c r="H175" s="107">
        <f t="shared" si="35"/>
        <v>0.23789820417927454</v>
      </c>
      <c r="I175" s="107">
        <f t="shared" si="35"/>
        <v>0.23789820417927454</v>
      </c>
      <c r="J175" s="101"/>
    </row>
    <row r="176" spans="1:10">
      <c r="A176" s="95">
        <v>163</v>
      </c>
      <c r="B176" s="104" t="s">
        <v>97</v>
      </c>
      <c r="C176" s="108">
        <v>0.24128540351323613</v>
      </c>
      <c r="D176" s="108">
        <v>0.24482157362292845</v>
      </c>
      <c r="E176" s="107">
        <f>'Smoothed Input Details'!M77</f>
        <v>0.23436349250782129</v>
      </c>
      <c r="F176" s="107">
        <f t="shared" si="35"/>
        <v>0.23436349250782129</v>
      </c>
      <c r="G176" s="107">
        <f t="shared" si="35"/>
        <v>0.23436349250782129</v>
      </c>
      <c r="H176" s="107">
        <f t="shared" si="35"/>
        <v>0.23436349250782129</v>
      </c>
      <c r="I176" s="107">
        <f t="shared" si="35"/>
        <v>0.23436349250782129</v>
      </c>
      <c r="J176" s="101"/>
    </row>
    <row r="177" spans="1:10">
      <c r="A177" s="95">
        <v>164</v>
      </c>
      <c r="B177" s="104" t="s">
        <v>110</v>
      </c>
      <c r="C177" s="108">
        <v>0.20435586110283846</v>
      </c>
      <c r="D177" s="108">
        <v>0.21311937428919756</v>
      </c>
      <c r="E177" s="107">
        <f>'Smoothed Input Details'!M78</f>
        <v>0.2063573739067911</v>
      </c>
      <c r="F177" s="107">
        <f t="shared" si="35"/>
        <v>0.2063573739067911</v>
      </c>
      <c r="G177" s="107">
        <f t="shared" si="35"/>
        <v>0.2063573739067911</v>
      </c>
      <c r="H177" s="107">
        <f t="shared" si="35"/>
        <v>0.2063573739067911</v>
      </c>
      <c r="I177" s="107">
        <f t="shared" si="35"/>
        <v>0.2063573739067911</v>
      </c>
      <c r="J177" s="101"/>
    </row>
    <row r="178" spans="1:10">
      <c r="A178" s="95">
        <v>165</v>
      </c>
      <c r="B178" s="100" t="s">
        <v>1453</v>
      </c>
      <c r="C178" s="99"/>
      <c r="D178" s="99"/>
      <c r="E178" s="99"/>
      <c r="F178" s="99"/>
      <c r="G178" s="99"/>
      <c r="H178" s="99"/>
      <c r="I178" s="99"/>
      <c r="J178" s="98"/>
    </row>
    <row r="179" spans="1:10">
      <c r="A179" s="95">
        <v>166</v>
      </c>
      <c r="B179" s="110" t="s">
        <v>1449</v>
      </c>
      <c r="C179" s="99"/>
      <c r="D179" s="99"/>
      <c r="E179" s="99"/>
      <c r="F179" s="99"/>
      <c r="G179" s="99"/>
      <c r="H179" s="99"/>
      <c r="I179" s="99"/>
      <c r="J179" s="98"/>
    </row>
    <row r="180" spans="1:10">
      <c r="A180" s="95">
        <v>167</v>
      </c>
      <c r="B180" s="104" t="s">
        <v>93</v>
      </c>
      <c r="C180" s="111">
        <v>0</v>
      </c>
      <c r="D180" s="111">
        <v>0</v>
      </c>
      <c r="E180" s="107">
        <f>'Smoothed Input Details'!K88</f>
        <v>0</v>
      </c>
      <c r="F180" s="107">
        <f>E180</f>
        <v>0</v>
      </c>
      <c r="G180" s="107">
        <f t="shared" ref="G180:I180" si="36">F180</f>
        <v>0</v>
      </c>
      <c r="H180" s="107">
        <f t="shared" si="36"/>
        <v>0</v>
      </c>
      <c r="I180" s="107">
        <f t="shared" si="36"/>
        <v>0</v>
      </c>
      <c r="J180" s="101"/>
    </row>
    <row r="181" spans="1:10">
      <c r="A181" s="95">
        <v>168</v>
      </c>
      <c r="B181" s="104" t="s">
        <v>95</v>
      </c>
      <c r="C181" s="111">
        <v>1.0498240370775742E-6</v>
      </c>
      <c r="D181" s="111">
        <v>2.4835305663902063E-8</v>
      </c>
      <c r="E181" s="107">
        <f>'Smoothed Input Details'!K89</f>
        <v>1.6556870442601376E-8</v>
      </c>
      <c r="F181" s="107">
        <f t="shared" ref="F181:I184" si="37">E181</f>
        <v>1.6556870442601376E-8</v>
      </c>
      <c r="G181" s="107">
        <f t="shared" si="37"/>
        <v>1.6556870442601376E-8</v>
      </c>
      <c r="H181" s="107">
        <f t="shared" si="37"/>
        <v>1.6556870442601376E-8</v>
      </c>
      <c r="I181" s="107">
        <f t="shared" si="37"/>
        <v>1.6556870442601376E-8</v>
      </c>
      <c r="J181" s="101"/>
    </row>
    <row r="182" spans="1:10">
      <c r="A182" s="95">
        <v>169</v>
      </c>
      <c r="B182" s="104" t="s">
        <v>96</v>
      </c>
      <c r="C182" s="111">
        <v>0</v>
      </c>
      <c r="D182" s="111">
        <v>0</v>
      </c>
      <c r="E182" s="107">
        <f>'Smoothed Input Details'!K90</f>
        <v>0</v>
      </c>
      <c r="F182" s="107">
        <f t="shared" si="37"/>
        <v>0</v>
      </c>
      <c r="G182" s="107">
        <f t="shared" si="37"/>
        <v>0</v>
      </c>
      <c r="H182" s="107">
        <f t="shared" si="37"/>
        <v>0</v>
      </c>
      <c r="I182" s="107">
        <f t="shared" si="37"/>
        <v>0</v>
      </c>
      <c r="J182" s="101"/>
    </row>
    <row r="183" spans="1:10">
      <c r="A183" s="95">
        <v>170</v>
      </c>
      <c r="B183" s="104" t="s">
        <v>97</v>
      </c>
      <c r="C183" s="111">
        <v>0</v>
      </c>
      <c r="D183" s="111">
        <v>0</v>
      </c>
      <c r="E183" s="107">
        <f>'Smoothed Input Details'!K91</f>
        <v>0</v>
      </c>
      <c r="F183" s="107">
        <f t="shared" si="37"/>
        <v>0</v>
      </c>
      <c r="G183" s="107">
        <f t="shared" si="37"/>
        <v>0</v>
      </c>
      <c r="H183" s="107">
        <f t="shared" si="37"/>
        <v>0</v>
      </c>
      <c r="I183" s="107">
        <f t="shared" si="37"/>
        <v>0</v>
      </c>
      <c r="J183" s="101"/>
    </row>
    <row r="184" spans="1:10">
      <c r="A184" s="95">
        <v>171</v>
      </c>
      <c r="B184" s="104" t="s">
        <v>110</v>
      </c>
      <c r="C184" s="111">
        <v>0</v>
      </c>
      <c r="D184" s="111">
        <v>0</v>
      </c>
      <c r="E184" s="107">
        <f>'Smoothed Input Details'!K92</f>
        <v>0</v>
      </c>
      <c r="F184" s="107">
        <f t="shared" si="37"/>
        <v>0</v>
      </c>
      <c r="G184" s="107">
        <f t="shared" si="37"/>
        <v>0</v>
      </c>
      <c r="H184" s="107">
        <f t="shared" si="37"/>
        <v>0</v>
      </c>
      <c r="I184" s="107">
        <f t="shared" si="37"/>
        <v>0</v>
      </c>
      <c r="J184" s="101"/>
    </row>
    <row r="185" spans="1:10">
      <c r="A185" s="95">
        <v>172</v>
      </c>
      <c r="B185" s="110" t="s">
        <v>1448</v>
      </c>
      <c r="C185" s="112"/>
      <c r="D185" s="112"/>
      <c r="E185" s="99"/>
      <c r="F185" s="99"/>
      <c r="G185" s="99"/>
      <c r="H185" s="99"/>
      <c r="I185" s="99"/>
      <c r="J185" s="98"/>
    </row>
    <row r="186" spans="1:10">
      <c r="A186" s="95">
        <v>173</v>
      </c>
      <c r="B186" s="104" t="s">
        <v>93</v>
      </c>
      <c r="C186" s="111">
        <v>3.7272993676624448E-2</v>
      </c>
      <c r="D186" s="111">
        <v>3.8543414071339606E-2</v>
      </c>
      <c r="E186" s="107">
        <f>'Smoothed Input Details'!L88</f>
        <v>3.4830602664601619E-2</v>
      </c>
      <c r="F186" s="107">
        <f>E186</f>
        <v>3.4830602664601619E-2</v>
      </c>
      <c r="G186" s="107">
        <f t="shared" ref="G186:I186" si="38">F186</f>
        <v>3.4830602664601619E-2</v>
      </c>
      <c r="H186" s="107">
        <f t="shared" si="38"/>
        <v>3.4830602664601619E-2</v>
      </c>
      <c r="I186" s="107">
        <f t="shared" si="38"/>
        <v>3.4830602664601619E-2</v>
      </c>
      <c r="J186" s="101"/>
    </row>
    <row r="187" spans="1:10">
      <c r="A187" s="95">
        <v>174</v>
      </c>
      <c r="B187" s="104" t="s">
        <v>95</v>
      </c>
      <c r="C187" s="111">
        <v>5.4568970812149169E-2</v>
      </c>
      <c r="D187" s="111">
        <v>5.571858188154221E-2</v>
      </c>
      <c r="E187" s="107">
        <f>'Smoothed Input Details'!L89</f>
        <v>5.869529563813064E-2</v>
      </c>
      <c r="F187" s="107">
        <f t="shared" ref="F187:I190" si="39">E187</f>
        <v>5.869529563813064E-2</v>
      </c>
      <c r="G187" s="107">
        <f t="shared" si="39"/>
        <v>5.869529563813064E-2</v>
      </c>
      <c r="H187" s="107">
        <f t="shared" si="39"/>
        <v>5.869529563813064E-2</v>
      </c>
      <c r="I187" s="107">
        <f t="shared" si="39"/>
        <v>5.869529563813064E-2</v>
      </c>
      <c r="J187" s="101"/>
    </row>
    <row r="188" spans="1:10">
      <c r="A188" s="95">
        <v>175</v>
      </c>
      <c r="B188" s="104" t="s">
        <v>96</v>
      </c>
      <c r="C188" s="111">
        <v>2.9372342660130384E-3</v>
      </c>
      <c r="D188" s="111">
        <v>4.1267059604884011E-3</v>
      </c>
      <c r="E188" s="107">
        <f>'Smoothed Input Details'!L90</f>
        <v>5.1301871668323713E-3</v>
      </c>
      <c r="F188" s="107">
        <f t="shared" si="39"/>
        <v>5.1301871668323713E-3</v>
      </c>
      <c r="G188" s="107">
        <f t="shared" si="39"/>
        <v>5.1301871668323713E-3</v>
      </c>
      <c r="H188" s="107">
        <f t="shared" si="39"/>
        <v>5.1301871668323713E-3</v>
      </c>
      <c r="I188" s="107">
        <f t="shared" si="39"/>
        <v>5.1301871668323713E-3</v>
      </c>
      <c r="J188" s="101"/>
    </row>
    <row r="189" spans="1:10">
      <c r="A189" s="95">
        <v>176</v>
      </c>
      <c r="B189" s="104" t="s">
        <v>97</v>
      </c>
      <c r="C189" s="111">
        <v>2.9372342660130384E-3</v>
      </c>
      <c r="D189" s="111">
        <v>4.1267059604884011E-3</v>
      </c>
      <c r="E189" s="107">
        <f>'Smoothed Input Details'!L91</f>
        <v>3.213521583597959E-3</v>
      </c>
      <c r="F189" s="107">
        <f t="shared" si="39"/>
        <v>3.213521583597959E-3</v>
      </c>
      <c r="G189" s="107">
        <f t="shared" si="39"/>
        <v>3.213521583597959E-3</v>
      </c>
      <c r="H189" s="107">
        <f t="shared" si="39"/>
        <v>3.213521583597959E-3</v>
      </c>
      <c r="I189" s="107">
        <f t="shared" si="39"/>
        <v>3.213521583597959E-3</v>
      </c>
      <c r="J189" s="101"/>
    </row>
    <row r="190" spans="1:10">
      <c r="A190" s="95">
        <v>177</v>
      </c>
      <c r="B190" s="104" t="s">
        <v>110</v>
      </c>
      <c r="C190" s="111">
        <v>1.2933878329349981E-2</v>
      </c>
      <c r="D190" s="111">
        <v>8.5797652446530457E-3</v>
      </c>
      <c r="E190" s="107">
        <f>'Smoothed Input Details'!L92</f>
        <v>4.2256521599561099E-3</v>
      </c>
      <c r="F190" s="107">
        <f t="shared" si="39"/>
        <v>4.2256521599561099E-3</v>
      </c>
      <c r="G190" s="107">
        <f t="shared" si="39"/>
        <v>4.2256521599561099E-3</v>
      </c>
      <c r="H190" s="107">
        <f t="shared" si="39"/>
        <v>4.2256521599561099E-3</v>
      </c>
      <c r="I190" s="107">
        <f t="shared" si="39"/>
        <v>4.2256521599561099E-3</v>
      </c>
      <c r="J190" s="101"/>
    </row>
    <row r="191" spans="1:10">
      <c r="A191" s="95">
        <v>178</v>
      </c>
      <c r="B191" s="110" t="s">
        <v>1447</v>
      </c>
      <c r="C191" s="99"/>
      <c r="D191" s="99"/>
      <c r="E191" s="99"/>
      <c r="F191" s="99"/>
      <c r="G191" s="99"/>
      <c r="H191" s="99"/>
      <c r="I191" s="99"/>
      <c r="J191" s="98"/>
    </row>
    <row r="192" spans="1:10">
      <c r="A192" s="95">
        <v>179</v>
      </c>
      <c r="B192" s="104" t="s">
        <v>93</v>
      </c>
      <c r="C192" s="108">
        <v>0.96272699293725994</v>
      </c>
      <c r="D192" s="108">
        <v>0.96145657254254491</v>
      </c>
      <c r="E192" s="107">
        <f>'Smoothed Input Details'!M88</f>
        <v>0.96516939733539842</v>
      </c>
      <c r="F192" s="107">
        <f>E192</f>
        <v>0.96516939733539842</v>
      </c>
      <c r="G192" s="107">
        <f t="shared" ref="G192:I192" si="40">F192</f>
        <v>0.96516939733539842</v>
      </c>
      <c r="H192" s="107">
        <f t="shared" si="40"/>
        <v>0.96516939733539842</v>
      </c>
      <c r="I192" s="107">
        <f t="shared" si="40"/>
        <v>0.96516939733539842</v>
      </c>
      <c r="J192" s="101"/>
    </row>
    <row r="193" spans="1:10">
      <c r="A193" s="95">
        <v>180</v>
      </c>
      <c r="B193" s="104" t="s">
        <v>95</v>
      </c>
      <c r="C193" s="108">
        <v>0.94542996743137875</v>
      </c>
      <c r="D193" s="108">
        <v>0.94428103968780663</v>
      </c>
      <c r="E193" s="107">
        <f>'Smoothed Input Details'!M89</f>
        <v>0.94130468780499887</v>
      </c>
      <c r="F193" s="107">
        <f t="shared" ref="F193:I196" si="41">E193</f>
        <v>0.94130468780499887</v>
      </c>
      <c r="G193" s="107">
        <f t="shared" si="41"/>
        <v>0.94130468780499887</v>
      </c>
      <c r="H193" s="107">
        <f t="shared" si="41"/>
        <v>0.94130468780499887</v>
      </c>
      <c r="I193" s="107">
        <f t="shared" si="41"/>
        <v>0.94130468780499887</v>
      </c>
      <c r="J193" s="101"/>
    </row>
    <row r="194" spans="1:10">
      <c r="A194" s="95">
        <v>181</v>
      </c>
      <c r="B194" s="104" t="s">
        <v>96</v>
      </c>
      <c r="C194" s="108">
        <v>0.997062765733987</v>
      </c>
      <c r="D194" s="108">
        <v>0.99587329403951153</v>
      </c>
      <c r="E194" s="107">
        <f>'Smoothed Input Details'!M90</f>
        <v>0.99486981283316778</v>
      </c>
      <c r="F194" s="107">
        <f t="shared" si="41"/>
        <v>0.99486981283316778</v>
      </c>
      <c r="G194" s="107">
        <f t="shared" si="41"/>
        <v>0.99486981283316778</v>
      </c>
      <c r="H194" s="107">
        <f t="shared" si="41"/>
        <v>0.99486981283316778</v>
      </c>
      <c r="I194" s="107">
        <f t="shared" si="41"/>
        <v>0.99486981283316778</v>
      </c>
      <c r="J194" s="101"/>
    </row>
    <row r="195" spans="1:10">
      <c r="A195" s="95">
        <v>182</v>
      </c>
      <c r="B195" s="104" t="s">
        <v>97</v>
      </c>
      <c r="C195" s="108">
        <v>0.997062765733987</v>
      </c>
      <c r="D195" s="108">
        <v>0.99587329403951153</v>
      </c>
      <c r="E195" s="107">
        <f>'Smoothed Input Details'!M91</f>
        <v>0.99678647841640211</v>
      </c>
      <c r="F195" s="107">
        <f t="shared" si="41"/>
        <v>0.99678647841640211</v>
      </c>
      <c r="G195" s="107">
        <f t="shared" si="41"/>
        <v>0.99678647841640211</v>
      </c>
      <c r="H195" s="107">
        <f t="shared" si="41"/>
        <v>0.99678647841640211</v>
      </c>
      <c r="I195" s="107">
        <f t="shared" si="41"/>
        <v>0.99678647841640211</v>
      </c>
      <c r="J195" s="101"/>
    </row>
    <row r="196" spans="1:10">
      <c r="A196" s="95">
        <v>183</v>
      </c>
      <c r="B196" s="104" t="s">
        <v>110</v>
      </c>
      <c r="C196" s="108">
        <v>0.98706612167065</v>
      </c>
      <c r="D196" s="108">
        <v>0.99142023475534691</v>
      </c>
      <c r="E196" s="107">
        <f>'Smoothed Input Details'!M92</f>
        <v>0.99577434784004382</v>
      </c>
      <c r="F196" s="107">
        <f t="shared" si="41"/>
        <v>0.99577434784004382</v>
      </c>
      <c r="G196" s="107">
        <f t="shared" si="41"/>
        <v>0.99577434784004382</v>
      </c>
      <c r="H196" s="107">
        <f t="shared" si="41"/>
        <v>0.99577434784004382</v>
      </c>
      <c r="I196" s="107">
        <f t="shared" si="41"/>
        <v>0.99577434784004382</v>
      </c>
      <c r="J196" s="101"/>
    </row>
    <row r="197" spans="1:10">
      <c r="A197" s="95">
        <v>184</v>
      </c>
      <c r="B197" s="100" t="s">
        <v>237</v>
      </c>
      <c r="C197" s="99"/>
      <c r="D197" s="99"/>
      <c r="E197" s="99"/>
      <c r="F197" s="99"/>
      <c r="G197" s="99"/>
      <c r="H197" s="99"/>
      <c r="I197" s="99"/>
      <c r="J197" s="98"/>
    </row>
    <row r="198" spans="1:10">
      <c r="A198" s="95">
        <v>185</v>
      </c>
      <c r="B198" s="110" t="s">
        <v>1446</v>
      </c>
      <c r="C198" s="99"/>
      <c r="D198" s="99"/>
      <c r="E198" s="99"/>
      <c r="F198" s="99"/>
      <c r="G198" s="99"/>
      <c r="H198" s="99"/>
      <c r="I198" s="99"/>
      <c r="J198" s="98"/>
    </row>
    <row r="199" spans="1:10">
      <c r="A199" s="95">
        <v>186</v>
      </c>
      <c r="B199" s="104" t="s">
        <v>131</v>
      </c>
      <c r="C199" s="108">
        <v>2.187975646879756E-2</v>
      </c>
      <c r="D199" s="108">
        <v>2.2070015220700151E-2</v>
      </c>
      <c r="E199" s="108">
        <f>'Smoothed Input Details'!K102</f>
        <v>2.2070015220700151E-2</v>
      </c>
      <c r="F199" s="107">
        <f>E199</f>
        <v>2.2070015220700151E-2</v>
      </c>
      <c r="G199" s="107">
        <f t="shared" ref="G199:I199" si="42">F199</f>
        <v>2.2070015220700151E-2</v>
      </c>
      <c r="H199" s="107">
        <f t="shared" si="42"/>
        <v>2.2070015220700151E-2</v>
      </c>
      <c r="I199" s="107">
        <f t="shared" si="42"/>
        <v>2.2070015220700151E-2</v>
      </c>
      <c r="J199" s="101"/>
    </row>
    <row r="200" spans="1:10">
      <c r="A200" s="95">
        <v>187</v>
      </c>
      <c r="B200" s="104" t="s">
        <v>132</v>
      </c>
      <c r="C200" s="108">
        <v>4.2678331316945539E-2</v>
      </c>
      <c r="D200" s="108">
        <v>4.3187622287130883E-2</v>
      </c>
      <c r="E200" s="108">
        <f>'Smoothed Input Details'!K103</f>
        <v>4.3296502490334364E-2</v>
      </c>
      <c r="F200" s="107">
        <f t="shared" ref="F200:I202" si="43">E200</f>
        <v>4.3296502490334364E-2</v>
      </c>
      <c r="G200" s="107">
        <f t="shared" si="43"/>
        <v>4.3296502490334364E-2</v>
      </c>
      <c r="H200" s="107">
        <f t="shared" si="43"/>
        <v>4.3296502490334364E-2</v>
      </c>
      <c r="I200" s="107">
        <f t="shared" si="43"/>
        <v>4.3296502490334364E-2</v>
      </c>
      <c r="J200" s="101"/>
    </row>
    <row r="201" spans="1:10">
      <c r="A201" s="95">
        <v>188</v>
      </c>
      <c r="B201" s="104" t="s">
        <v>133</v>
      </c>
      <c r="C201" s="108">
        <v>8.1615660153727856E-2</v>
      </c>
      <c r="D201" s="108">
        <v>7.8837438446745178E-2</v>
      </c>
      <c r="E201" s="108">
        <f>'Smoothed Input Details'!K104</f>
        <v>7.5341202673786759E-2</v>
      </c>
      <c r="F201" s="107">
        <f t="shared" si="43"/>
        <v>7.5341202673786759E-2</v>
      </c>
      <c r="G201" s="107">
        <f t="shared" si="43"/>
        <v>7.5341202673786759E-2</v>
      </c>
      <c r="H201" s="107">
        <f t="shared" si="43"/>
        <v>7.5341202673786759E-2</v>
      </c>
      <c r="I201" s="107">
        <f t="shared" si="43"/>
        <v>7.5341202673786759E-2</v>
      </c>
      <c r="J201" s="101"/>
    </row>
    <row r="202" spans="1:10">
      <c r="A202" s="95">
        <v>189</v>
      </c>
      <c r="B202" s="104" t="s">
        <v>134</v>
      </c>
      <c r="C202" s="108">
        <v>5.3913110639969451E-3</v>
      </c>
      <c r="D202" s="108">
        <v>4.3900177837478448E-3</v>
      </c>
      <c r="E202" s="108">
        <f>'Smoothed Input Details'!K105</f>
        <v>3.3590963197314191E-3</v>
      </c>
      <c r="F202" s="107">
        <f t="shared" si="43"/>
        <v>3.3590963197314191E-3</v>
      </c>
      <c r="G202" s="107">
        <f t="shared" si="43"/>
        <v>3.3590963197314191E-3</v>
      </c>
      <c r="H202" s="107">
        <f t="shared" si="43"/>
        <v>3.3590963197314191E-3</v>
      </c>
      <c r="I202" s="107">
        <f t="shared" si="43"/>
        <v>3.3590963197314191E-3</v>
      </c>
      <c r="J202" s="101"/>
    </row>
    <row r="203" spans="1:10">
      <c r="A203" s="95">
        <v>190</v>
      </c>
      <c r="B203" s="110" t="s">
        <v>1452</v>
      </c>
      <c r="C203" s="109"/>
      <c r="D203" s="109"/>
      <c r="E203" s="109"/>
      <c r="F203" s="109"/>
      <c r="G203" s="109"/>
      <c r="H203" s="109"/>
      <c r="I203" s="109"/>
      <c r="J203" s="98"/>
    </row>
    <row r="204" spans="1:10">
      <c r="A204" s="95">
        <v>191</v>
      </c>
      <c r="B204" s="104" t="s">
        <v>131</v>
      </c>
      <c r="C204" s="108">
        <v>0.48137366818873667</v>
      </c>
      <c r="D204" s="108">
        <v>0.48085996955859972</v>
      </c>
      <c r="E204" s="108">
        <f>'Smoothed Input Details'!L102</f>
        <v>0.48085996955859972</v>
      </c>
      <c r="F204" s="107">
        <f>E204</f>
        <v>0.48085996955859972</v>
      </c>
      <c r="G204" s="107">
        <f t="shared" ref="G204:I204" si="44">F204</f>
        <v>0.48085996955859972</v>
      </c>
      <c r="H204" s="107">
        <f t="shared" si="44"/>
        <v>0.48085996955859972</v>
      </c>
      <c r="I204" s="107">
        <f t="shared" si="44"/>
        <v>0.48085996955859972</v>
      </c>
      <c r="J204" s="101"/>
    </row>
    <row r="205" spans="1:10">
      <c r="A205" s="95">
        <v>192</v>
      </c>
      <c r="B205" s="104" t="s">
        <v>132</v>
      </c>
      <c r="C205" s="108">
        <v>0.19203822261157258</v>
      </c>
      <c r="D205" s="108">
        <v>0.1923752200993801</v>
      </c>
      <c r="E205" s="108">
        <f>'Smoothed Input Details'!L103</f>
        <v>0.19352712515009221</v>
      </c>
      <c r="F205" s="107">
        <f t="shared" ref="F205:I207" si="45">E205</f>
        <v>0.19352712515009221</v>
      </c>
      <c r="G205" s="107">
        <f t="shared" si="45"/>
        <v>0.19352712515009221</v>
      </c>
      <c r="H205" s="107">
        <f t="shared" si="45"/>
        <v>0.19352712515009221</v>
      </c>
      <c r="I205" s="107">
        <f t="shared" si="45"/>
        <v>0.19352712515009221</v>
      </c>
      <c r="J205" s="101"/>
    </row>
    <row r="206" spans="1:10">
      <c r="A206" s="95">
        <v>193</v>
      </c>
      <c r="B206" s="104" t="s">
        <v>133</v>
      </c>
      <c r="C206" s="108">
        <v>0.38917974851922804</v>
      </c>
      <c r="D206" s="108">
        <v>0.35736772109697051</v>
      </c>
      <c r="E206" s="108">
        <f>'Smoothed Input Details'!L104</f>
        <v>0.32694556247045986</v>
      </c>
      <c r="F206" s="107">
        <f t="shared" si="45"/>
        <v>0.32694556247045986</v>
      </c>
      <c r="G206" s="107">
        <f t="shared" si="45"/>
        <v>0.32694556247045986</v>
      </c>
      <c r="H206" s="107">
        <f t="shared" si="45"/>
        <v>0.32694556247045986</v>
      </c>
      <c r="I206" s="107">
        <f t="shared" si="45"/>
        <v>0.32694556247045986</v>
      </c>
      <c r="J206" s="101"/>
    </row>
    <row r="207" spans="1:10">
      <c r="A207" s="95">
        <v>194</v>
      </c>
      <c r="B207" s="104" t="s">
        <v>134</v>
      </c>
      <c r="C207" s="108">
        <v>0.7292068282507701</v>
      </c>
      <c r="D207" s="108">
        <v>0.73375222845562893</v>
      </c>
      <c r="E207" s="108">
        <f>'Smoothed Input Details'!L105</f>
        <v>0.7385027664723034</v>
      </c>
      <c r="F207" s="107">
        <f t="shared" si="45"/>
        <v>0.7385027664723034</v>
      </c>
      <c r="G207" s="107">
        <f t="shared" si="45"/>
        <v>0.7385027664723034</v>
      </c>
      <c r="H207" s="107">
        <f t="shared" si="45"/>
        <v>0.7385027664723034</v>
      </c>
      <c r="I207" s="107">
        <f t="shared" si="45"/>
        <v>0.7385027664723034</v>
      </c>
      <c r="J207" s="101"/>
    </row>
    <row r="208" spans="1:10">
      <c r="A208" s="95">
        <v>195</v>
      </c>
      <c r="B208" s="110" t="s">
        <v>1447</v>
      </c>
      <c r="C208" s="109"/>
      <c r="D208" s="109"/>
      <c r="E208" s="109"/>
      <c r="F208" s="109"/>
      <c r="G208" s="109"/>
      <c r="H208" s="109"/>
      <c r="I208" s="109"/>
      <c r="J208" s="98"/>
    </row>
    <row r="209" spans="1:10">
      <c r="A209" s="95">
        <v>196</v>
      </c>
      <c r="B209" s="104" t="s">
        <v>131</v>
      </c>
      <c r="C209" s="108">
        <v>0.49674657534246575</v>
      </c>
      <c r="D209" s="108">
        <v>0.49707001522070016</v>
      </c>
      <c r="E209" s="108">
        <f>'Smoothed Input Details'!M102</f>
        <v>0.49707001522070016</v>
      </c>
      <c r="F209" s="107">
        <f>E209</f>
        <v>0.49707001522070016</v>
      </c>
      <c r="G209" s="107">
        <f t="shared" ref="G209:I209" si="46">F209</f>
        <v>0.49707001522070016</v>
      </c>
      <c r="H209" s="107">
        <f t="shared" si="46"/>
        <v>0.49707001522070016</v>
      </c>
      <c r="I209" s="107">
        <f t="shared" si="46"/>
        <v>0.49707001522070016</v>
      </c>
      <c r="J209" s="101"/>
    </row>
    <row r="210" spans="1:10">
      <c r="A210" s="95">
        <v>197</v>
      </c>
      <c r="B210" s="104" t="s">
        <v>132</v>
      </c>
      <c r="C210" s="108">
        <v>0.7652834460714818</v>
      </c>
      <c r="D210" s="108">
        <v>0.76443715761348907</v>
      </c>
      <c r="E210" s="108">
        <f>'Smoothed Input Details'!M103</f>
        <v>0.76317637235957336</v>
      </c>
      <c r="F210" s="107">
        <f t="shared" ref="F210:I212" si="47">E210</f>
        <v>0.76317637235957336</v>
      </c>
      <c r="G210" s="107">
        <f t="shared" si="47"/>
        <v>0.76317637235957336</v>
      </c>
      <c r="H210" s="107">
        <f t="shared" si="47"/>
        <v>0.76317637235957336</v>
      </c>
      <c r="I210" s="107">
        <f t="shared" si="47"/>
        <v>0.76317637235957336</v>
      </c>
      <c r="J210" s="101"/>
    </row>
    <row r="211" spans="1:10">
      <c r="A211" s="95">
        <v>198</v>
      </c>
      <c r="B211" s="104" t="s">
        <v>133</v>
      </c>
      <c r="C211" s="108">
        <v>0.52920459132704412</v>
      </c>
      <c r="D211" s="108">
        <v>0.56379484045628425</v>
      </c>
      <c r="E211" s="108">
        <f>'Smoothed Input Details'!M104</f>
        <v>0.59771323485575345</v>
      </c>
      <c r="F211" s="107">
        <f t="shared" si="47"/>
        <v>0.59771323485575345</v>
      </c>
      <c r="G211" s="107">
        <f t="shared" si="47"/>
        <v>0.59771323485575345</v>
      </c>
      <c r="H211" s="107">
        <f t="shared" si="47"/>
        <v>0.59771323485575345</v>
      </c>
      <c r="I211" s="107">
        <f t="shared" si="47"/>
        <v>0.59771323485575345</v>
      </c>
      <c r="J211" s="101"/>
    </row>
    <row r="212" spans="1:10">
      <c r="A212" s="95">
        <v>199</v>
      </c>
      <c r="B212" s="104" t="s">
        <v>134</v>
      </c>
      <c r="C212" s="108">
        <v>0.26540186068523303</v>
      </c>
      <c r="D212" s="108">
        <v>0.2618577537606232</v>
      </c>
      <c r="E212" s="108">
        <f>'Smoothed Input Details'!M105</f>
        <v>0.25813813720796519</v>
      </c>
      <c r="F212" s="107">
        <f t="shared" si="47"/>
        <v>0.25813813720796519</v>
      </c>
      <c r="G212" s="107">
        <f t="shared" si="47"/>
        <v>0.25813813720796519</v>
      </c>
      <c r="H212" s="107">
        <f t="shared" si="47"/>
        <v>0.25813813720796519</v>
      </c>
      <c r="I212" s="107">
        <f t="shared" si="47"/>
        <v>0.25813813720796519</v>
      </c>
      <c r="J212" s="101"/>
    </row>
    <row r="213" spans="1:10">
      <c r="A213" s="95">
        <v>200</v>
      </c>
      <c r="B213" s="100" t="s">
        <v>240</v>
      </c>
      <c r="C213" s="99"/>
      <c r="D213" s="99"/>
      <c r="E213" s="99"/>
      <c r="F213" s="99"/>
      <c r="G213" s="99"/>
      <c r="H213" s="99"/>
      <c r="I213" s="99"/>
      <c r="J213" s="98"/>
    </row>
    <row r="214" spans="1:10">
      <c r="A214" s="95">
        <v>201</v>
      </c>
      <c r="B214" s="104" t="s">
        <v>233</v>
      </c>
      <c r="C214" s="106">
        <v>190</v>
      </c>
      <c r="D214" s="106">
        <v>187.5</v>
      </c>
      <c r="E214" s="106">
        <v>190</v>
      </c>
      <c r="F214" s="106">
        <v>190</v>
      </c>
      <c r="G214" s="106">
        <v>190</v>
      </c>
      <c r="H214" s="106">
        <v>190</v>
      </c>
      <c r="I214" s="106">
        <v>190</v>
      </c>
      <c r="J214" s="101"/>
    </row>
    <row r="215" spans="1:10">
      <c r="A215" s="95">
        <v>202</v>
      </c>
      <c r="B215" s="104" t="s">
        <v>234</v>
      </c>
      <c r="C215" s="106">
        <v>4218.5</v>
      </c>
      <c r="D215" s="106">
        <v>4221</v>
      </c>
      <c r="E215" s="106">
        <v>4233</v>
      </c>
      <c r="F215" s="106">
        <v>4233</v>
      </c>
      <c r="G215" s="106">
        <v>4233</v>
      </c>
      <c r="H215" s="106">
        <v>4233</v>
      </c>
      <c r="I215" s="106">
        <v>4233</v>
      </c>
      <c r="J215" s="101"/>
    </row>
    <row r="216" spans="1:10">
      <c r="A216" s="95">
        <v>203</v>
      </c>
      <c r="B216" s="104" t="s">
        <v>235</v>
      </c>
      <c r="C216" s="106">
        <v>4351.5</v>
      </c>
      <c r="D216" s="106">
        <v>4351.5</v>
      </c>
      <c r="E216" s="106">
        <v>4361</v>
      </c>
      <c r="F216" s="106">
        <v>4361</v>
      </c>
      <c r="G216" s="106">
        <v>4361</v>
      </c>
      <c r="H216" s="106">
        <v>4361</v>
      </c>
      <c r="I216" s="106">
        <v>4361</v>
      </c>
      <c r="J216" s="101"/>
    </row>
    <row r="217" spans="1:10">
      <c r="A217" s="95">
        <v>204</v>
      </c>
      <c r="B217" s="100" t="s">
        <v>1451</v>
      </c>
      <c r="C217" s="99"/>
      <c r="D217" s="99"/>
      <c r="E217" s="99"/>
      <c r="F217" s="99"/>
      <c r="G217" s="99"/>
      <c r="H217" s="99"/>
      <c r="I217" s="99"/>
      <c r="J217" s="98"/>
    </row>
    <row r="218" spans="1:10">
      <c r="A218" s="95">
        <v>205</v>
      </c>
      <c r="B218" s="104" t="s">
        <v>233</v>
      </c>
      <c r="C218" s="106">
        <v>652.5</v>
      </c>
      <c r="D218" s="106">
        <v>652.5</v>
      </c>
      <c r="E218" s="105">
        <v>655</v>
      </c>
      <c r="F218" s="105">
        <v>655</v>
      </c>
      <c r="G218" s="105">
        <v>655</v>
      </c>
      <c r="H218" s="105">
        <v>655</v>
      </c>
      <c r="I218" s="105">
        <v>655</v>
      </c>
      <c r="J218" s="101"/>
    </row>
    <row r="219" spans="1:10">
      <c r="A219" s="95">
        <v>206</v>
      </c>
      <c r="B219" s="104" t="s">
        <v>234</v>
      </c>
      <c r="C219" s="106">
        <v>3756</v>
      </c>
      <c r="D219" s="106">
        <v>3756</v>
      </c>
      <c r="E219" s="105">
        <v>3768</v>
      </c>
      <c r="F219" s="105">
        <v>3768</v>
      </c>
      <c r="G219" s="105">
        <v>3768</v>
      </c>
      <c r="H219" s="105">
        <v>3768</v>
      </c>
      <c r="I219" s="105">
        <v>3768</v>
      </c>
      <c r="J219" s="101"/>
    </row>
    <row r="220" spans="1:10">
      <c r="A220" s="95">
        <v>207</v>
      </c>
      <c r="B220" s="104" t="s">
        <v>235</v>
      </c>
      <c r="C220" s="106">
        <v>4351.5</v>
      </c>
      <c r="D220" s="106">
        <v>4351.5</v>
      </c>
      <c r="E220" s="106">
        <v>4361</v>
      </c>
      <c r="F220" s="106">
        <v>4361</v>
      </c>
      <c r="G220" s="106">
        <v>4361</v>
      </c>
      <c r="H220" s="106">
        <v>4361</v>
      </c>
      <c r="I220" s="106">
        <v>4361</v>
      </c>
      <c r="J220" s="101"/>
    </row>
    <row r="221" spans="1:10">
      <c r="A221" s="95">
        <v>208</v>
      </c>
      <c r="B221" s="100" t="s">
        <v>1450</v>
      </c>
      <c r="C221" s="99"/>
      <c r="D221" s="99"/>
      <c r="E221" s="99"/>
      <c r="F221" s="99"/>
      <c r="G221" s="99"/>
      <c r="H221" s="99"/>
      <c r="I221" s="99"/>
      <c r="J221" s="98"/>
    </row>
    <row r="222" spans="1:10">
      <c r="A222" s="95">
        <v>209</v>
      </c>
      <c r="B222" s="110" t="s">
        <v>1449</v>
      </c>
      <c r="C222" s="109"/>
      <c r="D222" s="109"/>
      <c r="E222" s="109"/>
      <c r="F222" s="109"/>
      <c r="G222" s="109"/>
      <c r="H222" s="109"/>
      <c r="I222" s="109"/>
      <c r="J222" s="98"/>
    </row>
    <row r="223" spans="1:10">
      <c r="A223" s="95">
        <v>210</v>
      </c>
      <c r="B223" s="104" t="s">
        <v>60</v>
      </c>
      <c r="C223" s="108">
        <v>0.68682991554813466</v>
      </c>
      <c r="D223" s="108">
        <v>0.63765525664734268</v>
      </c>
      <c r="E223" s="107">
        <f>'Smoothed Input Details'!K115</f>
        <v>0.62879119434947672</v>
      </c>
      <c r="F223" s="107">
        <f>E223</f>
        <v>0.62879119434947672</v>
      </c>
      <c r="G223" s="107">
        <f t="shared" ref="G223:I223" si="48">F223</f>
        <v>0.62879119434947672</v>
      </c>
      <c r="H223" s="107">
        <f t="shared" si="48"/>
        <v>0.62879119434947672</v>
      </c>
      <c r="I223" s="107">
        <f t="shared" si="48"/>
        <v>0.62879119434947672</v>
      </c>
      <c r="J223" s="101"/>
    </row>
    <row r="224" spans="1:10">
      <c r="A224" s="95">
        <v>211</v>
      </c>
      <c r="B224" s="104" t="s">
        <v>61</v>
      </c>
      <c r="C224" s="108">
        <v>0.56953919606160675</v>
      </c>
      <c r="D224" s="108">
        <v>0.6031235578934625</v>
      </c>
      <c r="E224" s="107">
        <f>'Smoothed Input Details'!K116</f>
        <v>0.62174924523091402</v>
      </c>
      <c r="F224" s="107">
        <f t="shared" ref="F224:I231" si="49">E224</f>
        <v>0.62174924523091402</v>
      </c>
      <c r="G224" s="107">
        <f t="shared" si="49"/>
        <v>0.62174924523091402</v>
      </c>
      <c r="H224" s="107">
        <f t="shared" si="49"/>
        <v>0.62174924523091402</v>
      </c>
      <c r="I224" s="107">
        <f t="shared" si="49"/>
        <v>0.62174924523091402</v>
      </c>
      <c r="J224" s="101"/>
    </row>
    <row r="225" spans="1:10">
      <c r="A225" s="95">
        <v>212</v>
      </c>
      <c r="B225" s="104" t="s">
        <v>62</v>
      </c>
      <c r="C225" s="108">
        <v>0.56953919606160675</v>
      </c>
      <c r="D225" s="108">
        <v>0.6031235578934625</v>
      </c>
      <c r="E225" s="107">
        <f>'Smoothed Input Details'!K117</f>
        <v>0.62174924523091402</v>
      </c>
      <c r="F225" s="107">
        <f t="shared" si="49"/>
        <v>0.62174924523091402</v>
      </c>
      <c r="G225" s="107">
        <f t="shared" si="49"/>
        <v>0.62174924523091402</v>
      </c>
      <c r="H225" s="107">
        <f t="shared" si="49"/>
        <v>0.62174924523091402</v>
      </c>
      <c r="I225" s="107">
        <f t="shared" si="49"/>
        <v>0.62174924523091402</v>
      </c>
      <c r="J225" s="101"/>
    </row>
    <row r="226" spans="1:10">
      <c r="A226" s="95">
        <v>213</v>
      </c>
      <c r="B226" s="104" t="s">
        <v>63</v>
      </c>
      <c r="C226" s="108">
        <v>0.61362302976737848</v>
      </c>
      <c r="D226" s="108">
        <v>0.61036066546896051</v>
      </c>
      <c r="E226" s="107">
        <f>'Smoothed Input Details'!K118</f>
        <v>0.57235676252107026</v>
      </c>
      <c r="F226" s="107">
        <f t="shared" si="49"/>
        <v>0.57235676252107026</v>
      </c>
      <c r="G226" s="107">
        <f t="shared" si="49"/>
        <v>0.57235676252107026</v>
      </c>
      <c r="H226" s="107">
        <f t="shared" si="49"/>
        <v>0.57235676252107026</v>
      </c>
      <c r="I226" s="107">
        <f t="shared" si="49"/>
        <v>0.57235676252107026</v>
      </c>
      <c r="J226" s="101"/>
    </row>
    <row r="227" spans="1:10">
      <c r="A227" s="95">
        <v>214</v>
      </c>
      <c r="B227" s="104" t="s">
        <v>64</v>
      </c>
      <c r="C227" s="108">
        <v>0.61362302976737848</v>
      </c>
      <c r="D227" s="108">
        <v>0.61036066546896051</v>
      </c>
      <c r="E227" s="107">
        <f>'Smoothed Input Details'!K119</f>
        <v>0.57235676252107026</v>
      </c>
      <c r="F227" s="107">
        <f t="shared" si="49"/>
        <v>0.57235676252107026</v>
      </c>
      <c r="G227" s="107">
        <f t="shared" si="49"/>
        <v>0.57235676252107026</v>
      </c>
      <c r="H227" s="107">
        <f t="shared" si="49"/>
        <v>0.57235676252107026</v>
      </c>
      <c r="I227" s="107">
        <f t="shared" si="49"/>
        <v>0.57235676252107026</v>
      </c>
      <c r="J227" s="101"/>
    </row>
    <row r="228" spans="1:10">
      <c r="A228" s="95">
        <v>215</v>
      </c>
      <c r="B228" s="104" t="s">
        <v>69</v>
      </c>
      <c r="C228" s="108">
        <v>0.56953919606160675</v>
      </c>
      <c r="D228" s="108">
        <v>0.6031235578934625</v>
      </c>
      <c r="E228" s="107">
        <f>'Smoothed Input Details'!K120</f>
        <v>0.62174924523091402</v>
      </c>
      <c r="F228" s="107">
        <f t="shared" si="49"/>
        <v>0.62174924523091402</v>
      </c>
      <c r="G228" s="107">
        <f t="shared" si="49"/>
        <v>0.62174924523091402</v>
      </c>
      <c r="H228" s="107">
        <f t="shared" si="49"/>
        <v>0.62174924523091402</v>
      </c>
      <c r="I228" s="107">
        <f t="shared" si="49"/>
        <v>0.62174924523091402</v>
      </c>
      <c r="J228" s="101"/>
    </row>
    <row r="229" spans="1:10">
      <c r="A229" s="95">
        <v>216</v>
      </c>
      <c r="B229" s="104" t="s">
        <v>65</v>
      </c>
      <c r="C229" s="108">
        <v>0.61362302976737848</v>
      </c>
      <c r="D229" s="108">
        <v>0.61036066546896051</v>
      </c>
      <c r="E229" s="107">
        <f>'Smoothed Input Details'!K121</f>
        <v>0.57235676252107026</v>
      </c>
      <c r="F229" s="107">
        <f t="shared" si="49"/>
        <v>0.57235676252107026</v>
      </c>
      <c r="G229" s="107">
        <f t="shared" si="49"/>
        <v>0.57235676252107026</v>
      </c>
      <c r="H229" s="107">
        <f t="shared" si="49"/>
        <v>0.57235676252107026</v>
      </c>
      <c r="I229" s="107">
        <f t="shared" si="49"/>
        <v>0.57235676252107026</v>
      </c>
      <c r="J229" s="101"/>
    </row>
    <row r="230" spans="1:10">
      <c r="A230" s="95">
        <v>217</v>
      </c>
      <c r="B230" s="104" t="s">
        <v>66</v>
      </c>
      <c r="C230" s="108">
        <v>0.61362302976737848</v>
      </c>
      <c r="D230" s="108">
        <v>0.61036066546896051</v>
      </c>
      <c r="E230" s="107">
        <f>'Smoothed Input Details'!K122</f>
        <v>0.57235676252107026</v>
      </c>
      <c r="F230" s="107">
        <f t="shared" si="49"/>
        <v>0.57235676252107026</v>
      </c>
      <c r="G230" s="107">
        <f t="shared" si="49"/>
        <v>0.57235676252107026</v>
      </c>
      <c r="H230" s="107">
        <f t="shared" si="49"/>
        <v>0.57235676252107026</v>
      </c>
      <c r="I230" s="107">
        <f t="shared" si="49"/>
        <v>0.57235676252107026</v>
      </c>
      <c r="J230" s="101"/>
    </row>
    <row r="231" spans="1:10">
      <c r="A231" s="95">
        <v>218</v>
      </c>
      <c r="B231" s="104" t="s">
        <v>67</v>
      </c>
      <c r="C231" s="108">
        <v>0.61362302976737848</v>
      </c>
      <c r="D231" s="108">
        <v>0.61036066546896051</v>
      </c>
      <c r="E231" s="107">
        <f>'Smoothed Input Details'!K123</f>
        <v>0.57235676252107026</v>
      </c>
      <c r="F231" s="107">
        <f t="shared" si="49"/>
        <v>0.57235676252107026</v>
      </c>
      <c r="G231" s="107">
        <f t="shared" si="49"/>
        <v>0.57235676252107026</v>
      </c>
      <c r="H231" s="107">
        <f t="shared" si="49"/>
        <v>0.57235676252107026</v>
      </c>
      <c r="I231" s="107">
        <f t="shared" si="49"/>
        <v>0.57235676252107026</v>
      </c>
      <c r="J231" s="101"/>
    </row>
    <row r="232" spans="1:10">
      <c r="A232" s="95">
        <v>219</v>
      </c>
      <c r="B232" s="110" t="s">
        <v>1448</v>
      </c>
      <c r="C232" s="109"/>
      <c r="D232" s="109"/>
      <c r="E232" s="109"/>
      <c r="F232" s="109"/>
      <c r="G232" s="109"/>
      <c r="H232" s="109"/>
      <c r="I232" s="109"/>
      <c r="J232" s="98"/>
    </row>
    <row r="233" spans="1:10">
      <c r="A233" s="95">
        <v>220</v>
      </c>
      <c r="B233" s="104" t="s">
        <v>60</v>
      </c>
      <c r="C233" s="108">
        <v>0.29007022913408115</v>
      </c>
      <c r="D233" s="108">
        <v>0.35596041103921189</v>
      </c>
      <c r="E233" s="107">
        <f>'Smoothed Input Details'!L115</f>
        <v>0.36482447333707807</v>
      </c>
      <c r="F233" s="107">
        <f>E233</f>
        <v>0.36482447333707807</v>
      </c>
      <c r="G233" s="107">
        <f t="shared" ref="G233:I233" si="50">F233</f>
        <v>0.36482447333707807</v>
      </c>
      <c r="H233" s="107">
        <f t="shared" si="50"/>
        <v>0.36482447333707807</v>
      </c>
      <c r="I233" s="107">
        <f t="shared" si="50"/>
        <v>0.36482447333707807</v>
      </c>
      <c r="J233" s="101"/>
    </row>
    <row r="234" spans="1:10">
      <c r="A234" s="95">
        <v>221</v>
      </c>
      <c r="B234" s="104" t="s">
        <v>61</v>
      </c>
      <c r="C234" s="108">
        <v>0.33693149844946751</v>
      </c>
      <c r="D234" s="108">
        <v>0.32040330464259137</v>
      </c>
      <c r="E234" s="107">
        <f>'Smoothed Input Details'!L116</f>
        <v>0.3027754828809584</v>
      </c>
      <c r="F234" s="107">
        <f t="shared" ref="F234:I241" si="51">E234</f>
        <v>0.3027754828809584</v>
      </c>
      <c r="G234" s="107">
        <f t="shared" si="51"/>
        <v>0.3027754828809584</v>
      </c>
      <c r="H234" s="107">
        <f t="shared" si="51"/>
        <v>0.3027754828809584</v>
      </c>
      <c r="I234" s="107">
        <f t="shared" si="51"/>
        <v>0.3027754828809584</v>
      </c>
      <c r="J234" s="101"/>
    </row>
    <row r="235" spans="1:10">
      <c r="A235" s="95">
        <v>222</v>
      </c>
      <c r="B235" s="104" t="s">
        <v>62</v>
      </c>
      <c r="C235" s="108">
        <v>0.33693149844946751</v>
      </c>
      <c r="D235" s="108">
        <v>0.32040330464259137</v>
      </c>
      <c r="E235" s="107">
        <f>'Smoothed Input Details'!L117</f>
        <v>0.3027754828809584</v>
      </c>
      <c r="F235" s="107">
        <f t="shared" si="51"/>
        <v>0.3027754828809584</v>
      </c>
      <c r="G235" s="107">
        <f t="shared" si="51"/>
        <v>0.3027754828809584</v>
      </c>
      <c r="H235" s="107">
        <f t="shared" si="51"/>
        <v>0.3027754828809584</v>
      </c>
      <c r="I235" s="107">
        <f t="shared" si="51"/>
        <v>0.3027754828809584</v>
      </c>
      <c r="J235" s="101"/>
    </row>
    <row r="236" spans="1:10">
      <c r="A236" s="95">
        <v>223</v>
      </c>
      <c r="B236" s="104" t="s">
        <v>63</v>
      </c>
      <c r="C236" s="108">
        <v>0.34014481215666753</v>
      </c>
      <c r="D236" s="108">
        <v>0.34307139372475937</v>
      </c>
      <c r="E236" s="107">
        <f>'Smoothed Input Details'!L118</f>
        <v>0.37197918727209278</v>
      </c>
      <c r="F236" s="107">
        <f t="shared" si="51"/>
        <v>0.37197918727209278</v>
      </c>
      <c r="G236" s="107">
        <f t="shared" si="51"/>
        <v>0.37197918727209278</v>
      </c>
      <c r="H236" s="107">
        <f t="shared" si="51"/>
        <v>0.37197918727209278</v>
      </c>
      <c r="I236" s="107">
        <f t="shared" si="51"/>
        <v>0.37197918727209278</v>
      </c>
      <c r="J236" s="101"/>
    </row>
    <row r="237" spans="1:10">
      <c r="A237" s="95">
        <v>224</v>
      </c>
      <c r="B237" s="104" t="s">
        <v>64</v>
      </c>
      <c r="C237" s="108">
        <v>0.34014481215666753</v>
      </c>
      <c r="D237" s="108">
        <v>0.34307139372475937</v>
      </c>
      <c r="E237" s="107">
        <f>'Smoothed Input Details'!L119</f>
        <v>0.37197918727209278</v>
      </c>
      <c r="F237" s="107">
        <f t="shared" si="51"/>
        <v>0.37197918727209278</v>
      </c>
      <c r="G237" s="107">
        <f t="shared" si="51"/>
        <v>0.37197918727209278</v>
      </c>
      <c r="H237" s="107">
        <f t="shared" si="51"/>
        <v>0.37197918727209278</v>
      </c>
      <c r="I237" s="107">
        <f t="shared" si="51"/>
        <v>0.37197918727209278</v>
      </c>
      <c r="J237" s="101"/>
    </row>
    <row r="238" spans="1:10">
      <c r="A238" s="95">
        <v>225</v>
      </c>
      <c r="B238" s="104" t="s">
        <v>69</v>
      </c>
      <c r="C238" s="108">
        <v>0.33693149844946751</v>
      </c>
      <c r="D238" s="108">
        <v>0.32040330464259137</v>
      </c>
      <c r="E238" s="107">
        <f>'Smoothed Input Details'!L120</f>
        <v>0.3027754828809584</v>
      </c>
      <c r="F238" s="107">
        <f t="shared" si="51"/>
        <v>0.3027754828809584</v>
      </c>
      <c r="G238" s="107">
        <f t="shared" si="51"/>
        <v>0.3027754828809584</v>
      </c>
      <c r="H238" s="107">
        <f t="shared" si="51"/>
        <v>0.3027754828809584</v>
      </c>
      <c r="I238" s="107">
        <f t="shared" si="51"/>
        <v>0.3027754828809584</v>
      </c>
      <c r="J238" s="101"/>
    </row>
    <row r="239" spans="1:10">
      <c r="A239" s="95">
        <v>226</v>
      </c>
      <c r="B239" s="104" t="s">
        <v>65</v>
      </c>
      <c r="C239" s="108">
        <v>0.34014481215666753</v>
      </c>
      <c r="D239" s="108">
        <v>0.34307139372475937</v>
      </c>
      <c r="E239" s="107">
        <f>'Smoothed Input Details'!L121</f>
        <v>0.37197918727209278</v>
      </c>
      <c r="F239" s="107">
        <f t="shared" si="51"/>
        <v>0.37197918727209278</v>
      </c>
      <c r="G239" s="107">
        <f t="shared" si="51"/>
        <v>0.37197918727209278</v>
      </c>
      <c r="H239" s="107">
        <f t="shared" si="51"/>
        <v>0.37197918727209278</v>
      </c>
      <c r="I239" s="107">
        <f t="shared" si="51"/>
        <v>0.37197918727209278</v>
      </c>
      <c r="J239" s="101"/>
    </row>
    <row r="240" spans="1:10">
      <c r="A240" s="95">
        <v>227</v>
      </c>
      <c r="B240" s="104" t="s">
        <v>66</v>
      </c>
      <c r="C240" s="108">
        <v>0.34014481215666753</v>
      </c>
      <c r="D240" s="108">
        <v>0.34307139372475937</v>
      </c>
      <c r="E240" s="107">
        <f>'Smoothed Input Details'!L122</f>
        <v>0.37197918727209278</v>
      </c>
      <c r="F240" s="107">
        <f t="shared" si="51"/>
        <v>0.37197918727209278</v>
      </c>
      <c r="G240" s="107">
        <f t="shared" si="51"/>
        <v>0.37197918727209278</v>
      </c>
      <c r="H240" s="107">
        <f t="shared" si="51"/>
        <v>0.37197918727209278</v>
      </c>
      <c r="I240" s="107">
        <f t="shared" si="51"/>
        <v>0.37197918727209278</v>
      </c>
      <c r="J240" s="101"/>
    </row>
    <row r="241" spans="1:10">
      <c r="A241" s="95">
        <v>228</v>
      </c>
      <c r="B241" s="104" t="s">
        <v>67</v>
      </c>
      <c r="C241" s="108">
        <v>0.34014481215666753</v>
      </c>
      <c r="D241" s="108">
        <v>0.34307139372475937</v>
      </c>
      <c r="E241" s="107">
        <f>'Smoothed Input Details'!L123</f>
        <v>0.37197918727209278</v>
      </c>
      <c r="F241" s="107">
        <f t="shared" si="51"/>
        <v>0.37197918727209278</v>
      </c>
      <c r="G241" s="107">
        <f t="shared" si="51"/>
        <v>0.37197918727209278</v>
      </c>
      <c r="H241" s="107">
        <f t="shared" si="51"/>
        <v>0.37197918727209278</v>
      </c>
      <c r="I241" s="107">
        <f t="shared" si="51"/>
        <v>0.37197918727209278</v>
      </c>
      <c r="J241" s="101"/>
    </row>
    <row r="242" spans="1:10">
      <c r="A242" s="95">
        <v>229</v>
      </c>
      <c r="B242" s="110" t="s">
        <v>1447</v>
      </c>
      <c r="C242" s="109"/>
      <c r="D242" s="109"/>
      <c r="E242" s="109"/>
      <c r="F242" s="109"/>
      <c r="G242" s="109"/>
      <c r="H242" s="109"/>
      <c r="I242" s="109"/>
      <c r="J242" s="98"/>
    </row>
    <row r="243" spans="1:10">
      <c r="A243" s="95">
        <v>230</v>
      </c>
      <c r="B243" s="104" t="s">
        <v>60</v>
      </c>
      <c r="C243" s="108">
        <v>2.3099855317784107E-2</v>
      </c>
      <c r="D243" s="108">
        <v>6.3843323134452623E-3</v>
      </c>
      <c r="E243" s="107">
        <f>'Smoothed Input Details'!M115</f>
        <v>6.3843323134452623E-3</v>
      </c>
      <c r="F243" s="107">
        <f>E243</f>
        <v>6.3843323134452623E-3</v>
      </c>
      <c r="G243" s="107">
        <f t="shared" ref="G243:I243" si="52">F243</f>
        <v>6.3843323134452623E-3</v>
      </c>
      <c r="H243" s="107">
        <f t="shared" si="52"/>
        <v>6.3843323134452623E-3</v>
      </c>
      <c r="I243" s="107">
        <f t="shared" si="52"/>
        <v>6.3843323134452623E-3</v>
      </c>
      <c r="J243" s="101"/>
    </row>
    <row r="244" spans="1:10">
      <c r="A244" s="95">
        <v>231</v>
      </c>
      <c r="B244" s="104" t="s">
        <v>61</v>
      </c>
      <c r="C244" s="108">
        <v>9.3529305488925685E-2</v>
      </c>
      <c r="D244" s="108">
        <v>7.6473137463946073E-2</v>
      </c>
      <c r="E244" s="107">
        <f>'Smoothed Input Details'!M116</f>
        <v>7.547527188812754E-2</v>
      </c>
      <c r="F244" s="107">
        <f t="shared" ref="F244:I251" si="53">E244</f>
        <v>7.547527188812754E-2</v>
      </c>
      <c r="G244" s="107">
        <f t="shared" si="53"/>
        <v>7.547527188812754E-2</v>
      </c>
      <c r="H244" s="107">
        <f t="shared" si="53"/>
        <v>7.547527188812754E-2</v>
      </c>
      <c r="I244" s="107">
        <f t="shared" si="53"/>
        <v>7.547527188812754E-2</v>
      </c>
      <c r="J244" s="101"/>
    </row>
    <row r="245" spans="1:10">
      <c r="A245" s="95">
        <v>232</v>
      </c>
      <c r="B245" s="104" t="s">
        <v>62</v>
      </c>
      <c r="C245" s="108">
        <v>9.3529305488925685E-2</v>
      </c>
      <c r="D245" s="108">
        <v>7.6473137463946073E-2</v>
      </c>
      <c r="E245" s="107">
        <f>'Smoothed Input Details'!M117</f>
        <v>7.547527188812754E-2</v>
      </c>
      <c r="F245" s="107">
        <f t="shared" si="53"/>
        <v>7.547527188812754E-2</v>
      </c>
      <c r="G245" s="107">
        <f t="shared" si="53"/>
        <v>7.547527188812754E-2</v>
      </c>
      <c r="H245" s="107">
        <f t="shared" si="53"/>
        <v>7.547527188812754E-2</v>
      </c>
      <c r="I245" s="107">
        <f t="shared" si="53"/>
        <v>7.547527188812754E-2</v>
      </c>
      <c r="J245" s="101"/>
    </row>
    <row r="246" spans="1:10">
      <c r="A246" s="95">
        <v>233</v>
      </c>
      <c r="B246" s="104" t="s">
        <v>63</v>
      </c>
      <c r="C246" s="108">
        <v>4.6232158075953843E-2</v>
      </c>
      <c r="D246" s="108">
        <v>4.6567940806280073E-2</v>
      </c>
      <c r="E246" s="107">
        <f>'Smoothed Input Details'!M118</f>
        <v>5.5664050206836936E-2</v>
      </c>
      <c r="F246" s="107">
        <f t="shared" si="53"/>
        <v>5.5664050206836936E-2</v>
      </c>
      <c r="G246" s="107">
        <f t="shared" si="53"/>
        <v>5.5664050206836936E-2</v>
      </c>
      <c r="H246" s="107">
        <f t="shared" si="53"/>
        <v>5.5664050206836936E-2</v>
      </c>
      <c r="I246" s="107">
        <f t="shared" si="53"/>
        <v>5.5664050206836936E-2</v>
      </c>
      <c r="J246" s="101"/>
    </row>
    <row r="247" spans="1:10">
      <c r="A247" s="95">
        <v>234</v>
      </c>
      <c r="B247" s="104" t="s">
        <v>64</v>
      </c>
      <c r="C247" s="108">
        <v>4.6232158075953843E-2</v>
      </c>
      <c r="D247" s="108">
        <v>4.6567940806280073E-2</v>
      </c>
      <c r="E247" s="107">
        <f>'Smoothed Input Details'!M119</f>
        <v>5.5664050206836936E-2</v>
      </c>
      <c r="F247" s="107">
        <f t="shared" si="53"/>
        <v>5.5664050206836936E-2</v>
      </c>
      <c r="G247" s="107">
        <f t="shared" si="53"/>
        <v>5.5664050206836936E-2</v>
      </c>
      <c r="H247" s="107">
        <f t="shared" si="53"/>
        <v>5.5664050206836936E-2</v>
      </c>
      <c r="I247" s="107">
        <f t="shared" si="53"/>
        <v>5.5664050206836936E-2</v>
      </c>
      <c r="J247" s="101"/>
    </row>
    <row r="248" spans="1:10">
      <c r="A248" s="95">
        <v>235</v>
      </c>
      <c r="B248" s="104" t="s">
        <v>69</v>
      </c>
      <c r="C248" s="108">
        <v>9.3529305488925685E-2</v>
      </c>
      <c r="D248" s="108">
        <v>7.6473137463946073E-2</v>
      </c>
      <c r="E248" s="107">
        <f>'Smoothed Input Details'!M120</f>
        <v>7.547527188812754E-2</v>
      </c>
      <c r="F248" s="107">
        <f t="shared" si="53"/>
        <v>7.547527188812754E-2</v>
      </c>
      <c r="G248" s="107">
        <f t="shared" si="53"/>
        <v>7.547527188812754E-2</v>
      </c>
      <c r="H248" s="107">
        <f t="shared" si="53"/>
        <v>7.547527188812754E-2</v>
      </c>
      <c r="I248" s="107">
        <f t="shared" si="53"/>
        <v>7.547527188812754E-2</v>
      </c>
      <c r="J248" s="101"/>
    </row>
    <row r="249" spans="1:10">
      <c r="A249" s="95">
        <v>236</v>
      </c>
      <c r="B249" s="104" t="s">
        <v>65</v>
      </c>
      <c r="C249" s="108">
        <v>4.6232158075953843E-2</v>
      </c>
      <c r="D249" s="108">
        <v>4.6567940806280073E-2</v>
      </c>
      <c r="E249" s="107">
        <f>'Smoothed Input Details'!M121</f>
        <v>5.5664050206836936E-2</v>
      </c>
      <c r="F249" s="107">
        <f t="shared" si="53"/>
        <v>5.5664050206836936E-2</v>
      </c>
      <c r="G249" s="107">
        <f t="shared" si="53"/>
        <v>5.5664050206836936E-2</v>
      </c>
      <c r="H249" s="107">
        <f t="shared" si="53"/>
        <v>5.5664050206836936E-2</v>
      </c>
      <c r="I249" s="107">
        <f t="shared" si="53"/>
        <v>5.5664050206836936E-2</v>
      </c>
      <c r="J249" s="101"/>
    </row>
    <row r="250" spans="1:10">
      <c r="A250" s="95">
        <v>237</v>
      </c>
      <c r="B250" s="104" t="s">
        <v>66</v>
      </c>
      <c r="C250" s="108">
        <v>4.6232158075953843E-2</v>
      </c>
      <c r="D250" s="108">
        <v>4.6567940806280073E-2</v>
      </c>
      <c r="E250" s="107">
        <f>'Smoothed Input Details'!M122</f>
        <v>5.5664050206836936E-2</v>
      </c>
      <c r="F250" s="107">
        <f t="shared" si="53"/>
        <v>5.5664050206836936E-2</v>
      </c>
      <c r="G250" s="107">
        <f t="shared" si="53"/>
        <v>5.5664050206836936E-2</v>
      </c>
      <c r="H250" s="107">
        <f t="shared" si="53"/>
        <v>5.5664050206836936E-2</v>
      </c>
      <c r="I250" s="107">
        <f t="shared" si="53"/>
        <v>5.5664050206836936E-2</v>
      </c>
      <c r="J250" s="101"/>
    </row>
    <row r="251" spans="1:10">
      <c r="A251" s="95">
        <v>238</v>
      </c>
      <c r="B251" s="104" t="s">
        <v>67</v>
      </c>
      <c r="C251" s="108">
        <v>4.6232158075953843E-2</v>
      </c>
      <c r="D251" s="108">
        <v>4.6567940806280073E-2</v>
      </c>
      <c r="E251" s="107">
        <f>'Smoothed Input Details'!M123</f>
        <v>5.5664050206836936E-2</v>
      </c>
      <c r="F251" s="107">
        <f t="shared" si="53"/>
        <v>5.5664050206836936E-2</v>
      </c>
      <c r="G251" s="107">
        <f t="shared" si="53"/>
        <v>5.5664050206836936E-2</v>
      </c>
      <c r="H251" s="107">
        <f t="shared" si="53"/>
        <v>5.5664050206836936E-2</v>
      </c>
      <c r="I251" s="107">
        <f t="shared" si="53"/>
        <v>5.5664050206836936E-2</v>
      </c>
      <c r="J251" s="101"/>
    </row>
    <row r="252" spans="1:10">
      <c r="A252" s="95">
        <v>239</v>
      </c>
      <c r="B252" s="110" t="s">
        <v>1446</v>
      </c>
      <c r="C252" s="109"/>
      <c r="D252" s="109"/>
      <c r="E252" s="109"/>
      <c r="F252" s="109"/>
      <c r="G252" s="109"/>
      <c r="H252" s="109"/>
      <c r="I252" s="109"/>
      <c r="J252" s="98"/>
    </row>
    <row r="253" spans="1:10">
      <c r="A253" s="95">
        <v>240</v>
      </c>
      <c r="B253" s="104" t="s">
        <v>60</v>
      </c>
      <c r="C253" s="108">
        <v>0.47623207722750621</v>
      </c>
      <c r="D253" s="108">
        <v>0.41903596206142563</v>
      </c>
      <c r="E253" s="107">
        <v>0.39570245808243315</v>
      </c>
      <c r="F253" s="107">
        <f>E253</f>
        <v>0.39570245808243315</v>
      </c>
      <c r="G253" s="107">
        <f t="shared" ref="G253:I253" si="54">F253</f>
        <v>0.39570245808243315</v>
      </c>
      <c r="H253" s="107">
        <f t="shared" si="54"/>
        <v>0.39570245808243315</v>
      </c>
      <c r="I253" s="107">
        <f t="shared" si="54"/>
        <v>0.39570245808243315</v>
      </c>
      <c r="J253" s="101"/>
    </row>
    <row r="254" spans="1:10">
      <c r="A254" s="95">
        <v>241</v>
      </c>
      <c r="B254" s="104" t="s">
        <v>61</v>
      </c>
      <c r="C254" s="108">
        <v>0.5027642206564088</v>
      </c>
      <c r="D254" s="108">
        <v>0.55245807383942613</v>
      </c>
      <c r="E254" s="107">
        <v>0.56604499762027283</v>
      </c>
      <c r="F254" s="107">
        <f t="shared" ref="F254:I261" si="55">E254</f>
        <v>0.56604499762027283</v>
      </c>
      <c r="G254" s="107">
        <f t="shared" si="55"/>
        <v>0.56604499762027283</v>
      </c>
      <c r="H254" s="107">
        <f t="shared" si="55"/>
        <v>0.56604499762027283</v>
      </c>
      <c r="I254" s="107">
        <f t="shared" si="55"/>
        <v>0.56604499762027283</v>
      </c>
      <c r="J254" s="101"/>
    </row>
    <row r="255" spans="1:10">
      <c r="A255" s="95">
        <v>242</v>
      </c>
      <c r="B255" s="104" t="s">
        <v>62</v>
      </c>
      <c r="C255" s="108">
        <v>0.5027642206564088</v>
      </c>
      <c r="D255" s="108">
        <v>0.55245807383942613</v>
      </c>
      <c r="E255" s="107">
        <v>0.56604499762027283</v>
      </c>
      <c r="F255" s="107">
        <f t="shared" si="55"/>
        <v>0.56604499762027283</v>
      </c>
      <c r="G255" s="107">
        <f t="shared" si="55"/>
        <v>0.56604499762027283</v>
      </c>
      <c r="H255" s="107">
        <f t="shared" si="55"/>
        <v>0.56604499762027283</v>
      </c>
      <c r="I255" s="107">
        <f t="shared" si="55"/>
        <v>0.56604499762027283</v>
      </c>
      <c r="J255" s="101"/>
    </row>
    <row r="256" spans="1:10">
      <c r="A256" s="95">
        <v>243</v>
      </c>
      <c r="B256" s="104" t="s">
        <v>63</v>
      </c>
      <c r="C256" s="108">
        <v>0.5314588887042806</v>
      </c>
      <c r="D256" s="108">
        <v>0.56488104274044304</v>
      </c>
      <c r="E256" s="107">
        <v>0.52685467635274164</v>
      </c>
      <c r="F256" s="107">
        <f t="shared" si="55"/>
        <v>0.52685467635274164</v>
      </c>
      <c r="G256" s="107">
        <f t="shared" si="55"/>
        <v>0.52685467635274164</v>
      </c>
      <c r="H256" s="107">
        <f t="shared" si="55"/>
        <v>0.52685467635274164</v>
      </c>
      <c r="I256" s="107">
        <f t="shared" si="55"/>
        <v>0.52685467635274164</v>
      </c>
      <c r="J256" s="101"/>
    </row>
    <row r="257" spans="1:10">
      <c r="A257" s="95">
        <v>244</v>
      </c>
      <c r="B257" s="104" t="s">
        <v>64</v>
      </c>
      <c r="C257" s="108">
        <v>0.5314588887042806</v>
      </c>
      <c r="D257" s="108">
        <v>0.56488104274044304</v>
      </c>
      <c r="E257" s="107">
        <v>0.52685467635274164</v>
      </c>
      <c r="F257" s="107">
        <f t="shared" si="55"/>
        <v>0.52685467635274164</v>
      </c>
      <c r="G257" s="107">
        <f t="shared" si="55"/>
        <v>0.52685467635274164</v>
      </c>
      <c r="H257" s="107">
        <f t="shared" si="55"/>
        <v>0.52685467635274164</v>
      </c>
      <c r="I257" s="107">
        <f t="shared" si="55"/>
        <v>0.52685467635274164</v>
      </c>
      <c r="J257" s="101"/>
    </row>
    <row r="258" spans="1:10">
      <c r="A258" s="95">
        <v>245</v>
      </c>
      <c r="B258" s="104" t="s">
        <v>69</v>
      </c>
      <c r="C258" s="108">
        <v>0.5027642206564088</v>
      </c>
      <c r="D258" s="108">
        <v>0.55245807383942613</v>
      </c>
      <c r="E258" s="107">
        <v>0.56604499762027283</v>
      </c>
      <c r="F258" s="107">
        <f t="shared" si="55"/>
        <v>0.56604499762027283</v>
      </c>
      <c r="G258" s="107">
        <f t="shared" si="55"/>
        <v>0.56604499762027283</v>
      </c>
      <c r="H258" s="107">
        <f t="shared" si="55"/>
        <v>0.56604499762027283</v>
      </c>
      <c r="I258" s="107">
        <f t="shared" si="55"/>
        <v>0.56604499762027283</v>
      </c>
      <c r="J258" s="101"/>
    </row>
    <row r="259" spans="1:10">
      <c r="A259" s="95">
        <v>246</v>
      </c>
      <c r="B259" s="104" t="s">
        <v>65</v>
      </c>
      <c r="C259" s="108">
        <v>0.5314588887042806</v>
      </c>
      <c r="D259" s="108">
        <v>0.56488104274044304</v>
      </c>
      <c r="E259" s="107">
        <v>0.52685467635274164</v>
      </c>
      <c r="F259" s="107">
        <f t="shared" si="55"/>
        <v>0.52685467635274164</v>
      </c>
      <c r="G259" s="107">
        <f t="shared" si="55"/>
        <v>0.52685467635274164</v>
      </c>
      <c r="H259" s="107">
        <f t="shared" si="55"/>
        <v>0.52685467635274164</v>
      </c>
      <c r="I259" s="107">
        <f t="shared" si="55"/>
        <v>0.52685467635274164</v>
      </c>
      <c r="J259" s="101"/>
    </row>
    <row r="260" spans="1:10">
      <c r="A260" s="95">
        <v>247</v>
      </c>
      <c r="B260" s="104" t="s">
        <v>66</v>
      </c>
      <c r="C260" s="108">
        <v>0.5314588887042806</v>
      </c>
      <c r="D260" s="108">
        <v>0.56488104274044304</v>
      </c>
      <c r="E260" s="107">
        <v>0.52685467635274164</v>
      </c>
      <c r="F260" s="107">
        <f t="shared" si="55"/>
        <v>0.52685467635274164</v>
      </c>
      <c r="G260" s="107">
        <f t="shared" si="55"/>
        <v>0.52685467635274164</v>
      </c>
      <c r="H260" s="107">
        <f t="shared" si="55"/>
        <v>0.52685467635274164</v>
      </c>
      <c r="I260" s="107">
        <f t="shared" si="55"/>
        <v>0.52685467635274164</v>
      </c>
      <c r="J260" s="101"/>
    </row>
    <row r="261" spans="1:10">
      <c r="A261" s="95">
        <v>248</v>
      </c>
      <c r="B261" s="104" t="s">
        <v>67</v>
      </c>
      <c r="C261" s="108">
        <v>0.5314588887042806</v>
      </c>
      <c r="D261" s="108">
        <v>0.56488104274044304</v>
      </c>
      <c r="E261" s="107">
        <v>0.52685467635274164</v>
      </c>
      <c r="F261" s="107">
        <f t="shared" si="55"/>
        <v>0.52685467635274164</v>
      </c>
      <c r="G261" s="107">
        <f t="shared" si="55"/>
        <v>0.52685467635274164</v>
      </c>
      <c r="H261" s="107">
        <f t="shared" si="55"/>
        <v>0.52685467635274164</v>
      </c>
      <c r="I261" s="107">
        <f t="shared" si="55"/>
        <v>0.52685467635274164</v>
      </c>
      <c r="J261" s="101"/>
    </row>
    <row r="262" spans="1:10">
      <c r="A262" s="95">
        <v>249</v>
      </c>
      <c r="B262" s="100" t="s">
        <v>1445</v>
      </c>
      <c r="C262" s="99"/>
      <c r="D262" s="99"/>
      <c r="E262" s="99"/>
      <c r="F262" s="99"/>
      <c r="G262" s="99"/>
      <c r="H262" s="99"/>
      <c r="I262" s="99"/>
      <c r="J262" s="98"/>
    </row>
    <row r="263" spans="1:10" ht="12.75" customHeight="1">
      <c r="A263" s="95">
        <v>250</v>
      </c>
      <c r="B263" s="104" t="s">
        <v>60</v>
      </c>
      <c r="C263" s="103">
        <v>0.27489787150128192</v>
      </c>
      <c r="D263" s="103">
        <v>0.27489787150128192</v>
      </c>
      <c r="E263" s="102">
        <f>D263</f>
        <v>0.27489787150128192</v>
      </c>
      <c r="F263" s="102">
        <f t="shared" ref="F263:I263" si="56">E263</f>
        <v>0.27489787150128192</v>
      </c>
      <c r="G263" s="102">
        <f t="shared" si="56"/>
        <v>0.27489787150128192</v>
      </c>
      <c r="H263" s="102">
        <f t="shared" si="56"/>
        <v>0.27489787150128192</v>
      </c>
      <c r="I263" s="102">
        <f t="shared" si="56"/>
        <v>0.27489787150128192</v>
      </c>
      <c r="J263" s="101"/>
    </row>
    <row r="264" spans="1:10">
      <c r="A264" s="95">
        <v>251</v>
      </c>
      <c r="B264" s="104" t="s">
        <v>61</v>
      </c>
      <c r="C264" s="103">
        <v>0.27489787150128192</v>
      </c>
      <c r="D264" s="103">
        <v>0.27489787150128192</v>
      </c>
      <c r="E264" s="102">
        <f t="shared" ref="E264:I271" si="57">D264</f>
        <v>0.27489787150128192</v>
      </c>
      <c r="F264" s="102">
        <f t="shared" si="57"/>
        <v>0.27489787150128192</v>
      </c>
      <c r="G264" s="102">
        <f t="shared" si="57"/>
        <v>0.27489787150128192</v>
      </c>
      <c r="H264" s="102">
        <f t="shared" si="57"/>
        <v>0.27489787150128192</v>
      </c>
      <c r="I264" s="102">
        <f t="shared" si="57"/>
        <v>0.27489787150128192</v>
      </c>
      <c r="J264" s="101"/>
    </row>
    <row r="265" spans="1:10">
      <c r="A265" s="95">
        <v>252</v>
      </c>
      <c r="B265" s="104" t="s">
        <v>62</v>
      </c>
      <c r="C265" s="103">
        <v>0.27489787150128192</v>
      </c>
      <c r="D265" s="103">
        <v>0.27489787150128192</v>
      </c>
      <c r="E265" s="102">
        <f t="shared" si="57"/>
        <v>0.27489787150128192</v>
      </c>
      <c r="F265" s="102">
        <f t="shared" si="57"/>
        <v>0.27489787150128192</v>
      </c>
      <c r="G265" s="102">
        <f t="shared" si="57"/>
        <v>0.27489787150128192</v>
      </c>
      <c r="H265" s="102">
        <f t="shared" si="57"/>
        <v>0.27489787150128192</v>
      </c>
      <c r="I265" s="102">
        <f t="shared" si="57"/>
        <v>0.27489787150128192</v>
      </c>
      <c r="J265" s="101"/>
    </row>
    <row r="266" spans="1:10">
      <c r="A266" s="95">
        <v>253</v>
      </c>
      <c r="B266" s="104" t="s">
        <v>63</v>
      </c>
      <c r="C266" s="103">
        <v>0.27489787150128192</v>
      </c>
      <c r="D266" s="103">
        <v>0.27489787150128192</v>
      </c>
      <c r="E266" s="102">
        <f t="shared" si="57"/>
        <v>0.27489787150128192</v>
      </c>
      <c r="F266" s="102">
        <f t="shared" si="57"/>
        <v>0.27489787150128192</v>
      </c>
      <c r="G266" s="102">
        <f t="shared" si="57"/>
        <v>0.27489787150128192</v>
      </c>
      <c r="H266" s="102">
        <f t="shared" si="57"/>
        <v>0.27489787150128192</v>
      </c>
      <c r="I266" s="102">
        <f t="shared" si="57"/>
        <v>0.27489787150128192</v>
      </c>
      <c r="J266" s="101"/>
    </row>
    <row r="267" spans="1:10">
      <c r="A267" s="95">
        <v>254</v>
      </c>
      <c r="B267" s="104" t="s">
        <v>64</v>
      </c>
      <c r="C267" s="103">
        <v>0.27489787150128192</v>
      </c>
      <c r="D267" s="103">
        <v>0.27489787150128192</v>
      </c>
      <c r="E267" s="102">
        <f t="shared" si="57"/>
        <v>0.27489787150128192</v>
      </c>
      <c r="F267" s="102">
        <f t="shared" si="57"/>
        <v>0.27489787150128192</v>
      </c>
      <c r="G267" s="102">
        <f t="shared" si="57"/>
        <v>0.27489787150128192</v>
      </c>
      <c r="H267" s="102">
        <f t="shared" si="57"/>
        <v>0.27489787150128192</v>
      </c>
      <c r="I267" s="102">
        <f t="shared" si="57"/>
        <v>0.27489787150128192</v>
      </c>
      <c r="J267" s="101"/>
    </row>
    <row r="268" spans="1:10">
      <c r="A268" s="95">
        <v>255</v>
      </c>
      <c r="B268" s="104" t="s">
        <v>69</v>
      </c>
      <c r="C268" s="103">
        <v>0.27489787150128192</v>
      </c>
      <c r="D268" s="103">
        <v>0.27489787150128192</v>
      </c>
      <c r="E268" s="102">
        <f t="shared" si="57"/>
        <v>0.27489787150128192</v>
      </c>
      <c r="F268" s="102">
        <f t="shared" si="57"/>
        <v>0.27489787150128192</v>
      </c>
      <c r="G268" s="102">
        <f t="shared" si="57"/>
        <v>0.27489787150128192</v>
      </c>
      <c r="H268" s="102">
        <f t="shared" si="57"/>
        <v>0.27489787150128192</v>
      </c>
      <c r="I268" s="102">
        <f t="shared" si="57"/>
        <v>0.27489787150128192</v>
      </c>
      <c r="J268" s="101"/>
    </row>
    <row r="269" spans="1:10">
      <c r="A269" s="95">
        <v>256</v>
      </c>
      <c r="B269" s="104" t="s">
        <v>65</v>
      </c>
      <c r="C269" s="103">
        <v>0.27489787150128192</v>
      </c>
      <c r="D269" s="103">
        <v>0.27489787150128192</v>
      </c>
      <c r="E269" s="102">
        <f t="shared" si="57"/>
        <v>0.27489787150128192</v>
      </c>
      <c r="F269" s="102">
        <f t="shared" si="57"/>
        <v>0.27489787150128192</v>
      </c>
      <c r="G269" s="102">
        <f t="shared" si="57"/>
        <v>0.27489787150128192</v>
      </c>
      <c r="H269" s="102">
        <f t="shared" si="57"/>
        <v>0.27489787150128192</v>
      </c>
      <c r="I269" s="102">
        <f t="shared" si="57"/>
        <v>0.27489787150128192</v>
      </c>
      <c r="J269" s="101"/>
    </row>
    <row r="270" spans="1:10">
      <c r="A270" s="95">
        <v>257</v>
      </c>
      <c r="B270" s="104" t="s">
        <v>66</v>
      </c>
      <c r="C270" s="103">
        <v>0.27489787150128192</v>
      </c>
      <c r="D270" s="103">
        <v>0.27489787150128192</v>
      </c>
      <c r="E270" s="102">
        <f t="shared" si="57"/>
        <v>0.27489787150128192</v>
      </c>
      <c r="F270" s="102">
        <f t="shared" si="57"/>
        <v>0.27489787150128192</v>
      </c>
      <c r="G270" s="102">
        <f t="shared" si="57"/>
        <v>0.27489787150128192</v>
      </c>
      <c r="H270" s="102">
        <f t="shared" si="57"/>
        <v>0.27489787150128192</v>
      </c>
      <c r="I270" s="102">
        <f t="shared" si="57"/>
        <v>0.27489787150128192</v>
      </c>
      <c r="J270" s="101"/>
    </row>
    <row r="271" spans="1:10">
      <c r="A271" s="95">
        <v>258</v>
      </c>
      <c r="B271" s="104" t="s">
        <v>67</v>
      </c>
      <c r="C271" s="103">
        <v>0.27489787150128192</v>
      </c>
      <c r="D271" s="103">
        <v>0.27489787150128192</v>
      </c>
      <c r="E271" s="102">
        <f t="shared" si="57"/>
        <v>0.27489787150128192</v>
      </c>
      <c r="F271" s="102">
        <f t="shared" si="57"/>
        <v>0.27489787150128192</v>
      </c>
      <c r="G271" s="102">
        <f t="shared" si="57"/>
        <v>0.27489787150128192</v>
      </c>
      <c r="H271" s="102">
        <f t="shared" si="57"/>
        <v>0.27489787150128192</v>
      </c>
      <c r="I271" s="102">
        <f t="shared" si="57"/>
        <v>0.27489787150128192</v>
      </c>
      <c r="J271" s="101"/>
    </row>
  </sheetData>
  <mergeCells count="5">
    <mergeCell ref="E3:F3"/>
    <mergeCell ref="E4:F4"/>
    <mergeCell ref="E5:F5"/>
    <mergeCell ref="C9:D9"/>
    <mergeCell ref="F9:I9"/>
  </mergeCells>
  <dataValidations count="7">
    <dataValidation type="decimal" allowBlank="1" showInputMessage="1" showErrorMessage="1" error="Must be a non-negative percentage value." sqref="D24:I27">
      <formula1>0</formula1>
      <formula2>4</formula2>
    </dataValidation>
    <dataValidation type="decimal" operator="greaterThanOrEqual" allowBlank="1" showInputMessage="1" showErrorMessage="1" sqref="E49:F50 E111:I111 G49:I53 E113:I114 E116:I116 E218:I219 E40:F45 G40:I47 E31:I38">
      <formula1>0</formula1>
    </dataValidation>
    <dataValidation type="decimal" operator="greaterThan" allowBlank="1" showInputMessage="1" showErrorMessage="1" sqref="E58:I64">
      <formula1>0</formula1>
    </dataValidation>
    <dataValidation type="decimal" allowBlank="1" showInputMessage="1" showErrorMessage="1" error="The LDNO discount must be between 0% and 100%." sqref="E66:I69">
      <formula1>0</formula1>
      <formula2>1</formula2>
    </dataValidation>
    <dataValidation type="decimal" allowBlank="1" showInputMessage="1" showErrorMessage="1" error="The coincidence factor must be between 0% and 100%." sqref="E71:E89 F73:I73 F76:I76">
      <formula1>0</formula1>
      <formula2>1</formula2>
    </dataValidation>
    <dataValidation type="decimal" allowBlank="1" showInputMessage="1" showErrorMessage="1" sqref="E186:I190 E159:I167 E263:I271 E233:I241 E169:I177 E243:I251 E180:I184 E223:I231 E192:I196 E253:I261 E149:I157 F91:I109 F77:I89 F71:I72 F74:I75 F199:I202 F204:I207 F209:I212">
      <formula1>0</formula1>
      <formula2>1</formula2>
    </dataValidation>
    <dataValidation type="decimal" allowBlank="1" showInputMessage="1" showErrorMessage="1" error="The load factor must be between 0% and 100%." sqref="E91:E109">
      <formula1>0</formula1>
      <formula2>1</formula2>
    </dataValidation>
  </dataValidations>
  <pageMargins left="0.74803149606299213" right="0.74803149606299213" top="0.98425196850393704" bottom="0.98425196850393704" header="0.51181102362204722" footer="0.51181102362204722"/>
  <pageSetup paperSize="8" scale="52" fitToWidth="2" fitToHeight="3" orientation="landscape" r:id="rId1"/>
  <headerFooter alignWithMargins="0">
    <oddFooter>&amp;L&amp;Z&amp;F&amp;A&amp;R&amp;D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D6FCFD"/>
    <pageSetUpPr fitToPage="1"/>
  </sheetPr>
  <dimension ref="A1:K51"/>
  <sheetViews>
    <sheetView showGridLines="0" workbookViewId="0">
      <selection activeCell="F1" sqref="F1:F1048576"/>
    </sheetView>
  </sheetViews>
  <sheetFormatPr defaultColWidth="8.85546875" defaultRowHeight="12.75"/>
  <cols>
    <col min="1" max="1" width="42.7109375" style="48" customWidth="1"/>
    <col min="2" max="2" width="15.42578125" style="48" customWidth="1"/>
    <col min="3" max="10" width="9.85546875" style="48" customWidth="1"/>
    <col min="11" max="11" width="64.85546875" style="48" customWidth="1"/>
    <col min="12" max="13" width="8.85546875" style="48"/>
    <col min="14" max="14" width="22.28515625" style="48" customWidth="1"/>
    <col min="15" max="16384" width="8.85546875" style="48"/>
  </cols>
  <sheetData>
    <row r="1" spans="1:11" ht="15.75">
      <c r="A1" s="94" t="s">
        <v>1444</v>
      </c>
      <c r="B1" s="92"/>
      <c r="C1" s="90"/>
      <c r="D1" s="90"/>
      <c r="E1" s="90"/>
      <c r="F1" s="90"/>
      <c r="G1" s="90"/>
      <c r="H1" s="90"/>
      <c r="I1" s="90"/>
      <c r="J1" s="90"/>
      <c r="K1" s="90"/>
    </row>
    <row r="2" spans="1:11" ht="15.75">
      <c r="A2" s="93" t="str">
        <f>"Company Name: "&amp;'CDCM Forecast Data'!E3</f>
        <v>Company Name: WPD South Wales</v>
      </c>
      <c r="B2" s="92"/>
      <c r="C2" s="90"/>
      <c r="D2" s="90"/>
      <c r="E2" s="90"/>
      <c r="F2" s="90"/>
      <c r="G2" s="90"/>
      <c r="H2" s="90"/>
      <c r="I2" s="90"/>
      <c r="J2" s="90"/>
      <c r="K2" s="90"/>
    </row>
    <row r="3" spans="1:11" ht="15.75">
      <c r="A3" s="93" t="s">
        <v>1443</v>
      </c>
      <c r="B3" s="91"/>
      <c r="C3" s="90"/>
      <c r="D3" s="90"/>
      <c r="E3" s="90"/>
      <c r="F3" s="90"/>
      <c r="G3" s="90"/>
      <c r="H3" s="90"/>
      <c r="I3" s="90"/>
      <c r="J3" s="90"/>
      <c r="K3" s="90"/>
    </row>
    <row r="4" spans="1:11" ht="15.75">
      <c r="A4" s="90"/>
      <c r="B4" s="92"/>
      <c r="C4" s="90"/>
      <c r="D4" s="91"/>
      <c r="E4" s="91"/>
      <c r="F4" s="91"/>
      <c r="G4" s="91"/>
      <c r="H4" s="91"/>
      <c r="I4" s="91"/>
      <c r="J4" s="91"/>
      <c r="K4" s="90"/>
    </row>
    <row r="5" spans="1:11" ht="15.75">
      <c r="A5" s="87" t="s">
        <v>1442</v>
      </c>
      <c r="B5" s="86" t="s">
        <v>1441</v>
      </c>
      <c r="C5" s="86" t="s">
        <v>5</v>
      </c>
      <c r="D5" s="64"/>
      <c r="E5" s="64"/>
      <c r="F5" s="64"/>
      <c r="G5" s="64"/>
      <c r="H5" s="64"/>
      <c r="I5" s="64"/>
      <c r="J5" s="64"/>
      <c r="K5" s="88" t="s">
        <v>1440</v>
      </c>
    </row>
    <row r="6" spans="1:11" ht="15.75">
      <c r="A6" s="87" t="s">
        <v>1432</v>
      </c>
      <c r="B6" s="86"/>
      <c r="C6" s="86"/>
      <c r="D6" s="89" t="s">
        <v>1439</v>
      </c>
      <c r="E6" s="85" t="s">
        <v>1438</v>
      </c>
      <c r="F6" s="85" t="s">
        <v>1437</v>
      </c>
      <c r="G6" s="89" t="s">
        <v>1436</v>
      </c>
      <c r="H6" s="89" t="s">
        <v>1435</v>
      </c>
      <c r="I6" s="89" t="s">
        <v>1434</v>
      </c>
      <c r="J6" s="89" t="s">
        <v>1433</v>
      </c>
      <c r="K6" s="88"/>
    </row>
    <row r="7" spans="1:11" ht="15.75">
      <c r="A7" s="87" t="s">
        <v>1432</v>
      </c>
      <c r="B7" s="86"/>
      <c r="C7" s="86"/>
      <c r="D7" s="85" t="str">
        <f>'CDCM Forecast Data'!C11</f>
        <v>2013/14</v>
      </c>
      <c r="E7" s="85" t="str">
        <f>'CDCM Forecast Data'!D11</f>
        <v>2014/15</v>
      </c>
      <c r="F7" s="85" t="str">
        <f>'CDCM Forecast Data'!E11</f>
        <v>2015/16</v>
      </c>
      <c r="G7" s="85" t="str">
        <f>'CDCM Forecast Data'!F11</f>
        <v>2016/17</v>
      </c>
      <c r="H7" s="85" t="str">
        <f>'CDCM Forecast Data'!G11</f>
        <v>2017/18</v>
      </c>
      <c r="I7" s="85" t="str">
        <f>'CDCM Forecast Data'!H11</f>
        <v>2018/19</v>
      </c>
      <c r="J7" s="85" t="str">
        <f>'CDCM Forecast Data'!I11</f>
        <v>2019/20</v>
      </c>
      <c r="K7" s="49"/>
    </row>
    <row r="8" spans="1:11" ht="15.75">
      <c r="A8" s="64" t="s">
        <v>1431</v>
      </c>
      <c r="B8" s="51" t="s">
        <v>8</v>
      </c>
      <c r="C8" s="51" t="s">
        <v>35</v>
      </c>
      <c r="D8" s="271">
        <v>233.4</v>
      </c>
      <c r="E8" s="271">
        <v>247.7</v>
      </c>
      <c r="F8" s="271">
        <v>198.7</v>
      </c>
      <c r="G8" s="271">
        <v>200.6</v>
      </c>
      <c r="H8" s="271">
        <v>202.5</v>
      </c>
      <c r="I8" s="271">
        <v>204.6</v>
      </c>
      <c r="J8" s="271">
        <v>206.7</v>
      </c>
      <c r="K8" s="49"/>
    </row>
    <row r="9" spans="1:11" ht="15.75">
      <c r="A9" s="52" t="s">
        <v>1430</v>
      </c>
      <c r="B9" s="51" t="s">
        <v>9</v>
      </c>
      <c r="C9" s="51" t="s">
        <v>35</v>
      </c>
      <c r="D9" s="271">
        <v>1.1341633026</v>
      </c>
      <c r="E9" s="271">
        <v>1.1671674547056599</v>
      </c>
      <c r="F9" s="271">
        <v>1.0820000000000001</v>
      </c>
      <c r="G9" s="271">
        <v>1.117</v>
      </c>
      <c r="H9" s="271">
        <v>1.153</v>
      </c>
      <c r="I9" s="271">
        <v>1.1875900000000001</v>
      </c>
      <c r="J9" s="271">
        <v>1.2232177000000002</v>
      </c>
      <c r="K9" s="49"/>
    </row>
    <row r="10" spans="1:11" ht="15.75">
      <c r="A10" s="52" t="s">
        <v>1429</v>
      </c>
      <c r="B10" s="51" t="s">
        <v>10</v>
      </c>
      <c r="C10" s="51" t="s">
        <v>35</v>
      </c>
      <c r="D10" s="271"/>
      <c r="E10" s="271"/>
      <c r="F10" s="271"/>
      <c r="G10" s="271"/>
      <c r="H10" s="271"/>
      <c r="I10" s="271"/>
      <c r="J10" s="271"/>
      <c r="K10" s="84"/>
    </row>
    <row r="11" spans="1:11" ht="31.5">
      <c r="A11" s="58" t="s">
        <v>1428</v>
      </c>
      <c r="B11" s="62" t="s">
        <v>11</v>
      </c>
      <c r="C11" s="62" t="s">
        <v>35</v>
      </c>
      <c r="D11" s="61">
        <f t="shared" ref="D11:J11" si="0">D8*D9-D10</f>
        <v>264.71371482683998</v>
      </c>
      <c r="E11" s="61">
        <f t="shared" si="0"/>
        <v>289.10737853059192</v>
      </c>
      <c r="F11" s="61">
        <f t="shared" si="0"/>
        <v>214.99340000000001</v>
      </c>
      <c r="G11" s="61">
        <f t="shared" si="0"/>
        <v>224.0702</v>
      </c>
      <c r="H11" s="61">
        <f t="shared" si="0"/>
        <v>233.48250000000002</v>
      </c>
      <c r="I11" s="61">
        <f t="shared" si="0"/>
        <v>242.98091400000001</v>
      </c>
      <c r="J11" s="61">
        <f t="shared" si="0"/>
        <v>252.83909859000002</v>
      </c>
      <c r="K11" s="60" t="s">
        <v>1427</v>
      </c>
    </row>
    <row r="12" spans="1:11" ht="15.75">
      <c r="A12" s="64" t="s">
        <v>1426</v>
      </c>
      <c r="B12" s="51" t="s">
        <v>12</v>
      </c>
      <c r="C12" s="51" t="s">
        <v>36</v>
      </c>
      <c r="D12" s="271">
        <v>-1.3690239638540902</v>
      </c>
      <c r="E12" s="271">
        <v>-1.558805327598245</v>
      </c>
      <c r="F12" s="271"/>
      <c r="G12" s="271">
        <v>0</v>
      </c>
      <c r="H12" s="271">
        <v>0</v>
      </c>
      <c r="I12" s="271">
        <v>0</v>
      </c>
      <c r="J12" s="271">
        <v>0</v>
      </c>
      <c r="K12" s="49"/>
    </row>
    <row r="13" spans="1:11" ht="15.75">
      <c r="A13" s="64" t="s">
        <v>1425</v>
      </c>
      <c r="B13" s="51" t="s">
        <v>13</v>
      </c>
      <c r="C13" s="51" t="s">
        <v>36</v>
      </c>
      <c r="D13" s="271">
        <v>-0.2263431062824538</v>
      </c>
      <c r="E13" s="271">
        <v>-0.23292969067527325</v>
      </c>
      <c r="F13" s="271"/>
      <c r="G13" s="271">
        <v>0</v>
      </c>
      <c r="H13" s="271">
        <v>0</v>
      </c>
      <c r="I13" s="271">
        <v>0</v>
      </c>
      <c r="J13" s="271">
        <v>0</v>
      </c>
      <c r="K13" s="49"/>
    </row>
    <row r="14" spans="1:11" ht="15.75">
      <c r="A14" s="64" t="s">
        <v>1424</v>
      </c>
      <c r="B14" s="51" t="s">
        <v>14</v>
      </c>
      <c r="C14" s="51" t="s">
        <v>36</v>
      </c>
      <c r="D14" s="271">
        <v>2.0629238398679419</v>
      </c>
      <c r="E14" s="271">
        <v>0.74376513060811078</v>
      </c>
      <c r="F14" s="271"/>
      <c r="G14" s="271">
        <v>0</v>
      </c>
      <c r="H14" s="271">
        <v>0</v>
      </c>
      <c r="I14" s="271">
        <v>0</v>
      </c>
      <c r="J14" s="271">
        <v>0</v>
      </c>
      <c r="K14" s="49"/>
    </row>
    <row r="15" spans="1:11" ht="15.75">
      <c r="A15" s="64" t="s">
        <v>1423</v>
      </c>
      <c r="B15" s="51" t="s">
        <v>15</v>
      </c>
      <c r="C15" s="51" t="s">
        <v>36</v>
      </c>
      <c r="D15" s="271">
        <v>0</v>
      </c>
      <c r="E15" s="271">
        <v>0</v>
      </c>
      <c r="F15" s="271"/>
      <c r="G15" s="271">
        <v>0</v>
      </c>
      <c r="H15" s="271">
        <v>0</v>
      </c>
      <c r="I15" s="271">
        <v>0</v>
      </c>
      <c r="J15" s="271">
        <v>0</v>
      </c>
      <c r="K15" s="53"/>
    </row>
    <row r="16" spans="1:11" ht="31.5">
      <c r="A16" s="64" t="s">
        <v>1422</v>
      </c>
      <c r="B16" s="51" t="s">
        <v>16</v>
      </c>
      <c r="C16" s="51" t="s">
        <v>36</v>
      </c>
      <c r="D16" s="271">
        <v>0</v>
      </c>
      <c r="E16" s="271">
        <v>0</v>
      </c>
      <c r="F16" s="271"/>
      <c r="G16" s="271">
        <v>0</v>
      </c>
      <c r="H16" s="271">
        <v>0</v>
      </c>
      <c r="I16" s="271">
        <v>0</v>
      </c>
      <c r="J16" s="271">
        <v>0</v>
      </c>
      <c r="K16" s="53"/>
    </row>
    <row r="17" spans="1:11" ht="31.5">
      <c r="A17" s="83" t="s">
        <v>1421</v>
      </c>
      <c r="B17" s="62" t="s">
        <v>17</v>
      </c>
      <c r="C17" s="62" t="s">
        <v>35</v>
      </c>
      <c r="D17" s="61">
        <f t="shared" ref="D17:J17" si="1">SUM(D12:D16)</f>
        <v>0.46755676973139781</v>
      </c>
      <c r="E17" s="61">
        <f t="shared" si="1"/>
        <v>-1.0479698876654076</v>
      </c>
      <c r="F17" s="61">
        <f t="shared" si="1"/>
        <v>0</v>
      </c>
      <c r="G17" s="61">
        <f t="shared" si="1"/>
        <v>0</v>
      </c>
      <c r="H17" s="61">
        <f t="shared" si="1"/>
        <v>0</v>
      </c>
      <c r="I17" s="61">
        <f t="shared" si="1"/>
        <v>0</v>
      </c>
      <c r="J17" s="61">
        <f t="shared" si="1"/>
        <v>0</v>
      </c>
      <c r="K17" s="60" t="s">
        <v>1420</v>
      </c>
    </row>
    <row r="18" spans="1:11" ht="15.75">
      <c r="A18" s="319" t="s">
        <v>1419</v>
      </c>
      <c r="B18" s="82" t="s">
        <v>18</v>
      </c>
      <c r="C18" s="82" t="s">
        <v>37</v>
      </c>
      <c r="D18" s="271">
        <v>0</v>
      </c>
      <c r="E18" s="271">
        <v>0</v>
      </c>
      <c r="F18" s="271"/>
      <c r="G18" s="271">
        <v>0</v>
      </c>
      <c r="H18" s="271">
        <v>0</v>
      </c>
      <c r="I18" s="271">
        <v>0</v>
      </c>
      <c r="J18" s="271">
        <v>0</v>
      </c>
      <c r="K18" s="322"/>
    </row>
    <row r="19" spans="1:11" ht="15.75">
      <c r="A19" s="320"/>
      <c r="B19" s="69" t="s">
        <v>19</v>
      </c>
      <c r="C19" s="51" t="s">
        <v>37</v>
      </c>
      <c r="D19" s="271">
        <v>0</v>
      </c>
      <c r="E19" s="271">
        <v>0</v>
      </c>
      <c r="F19" s="271"/>
      <c r="G19" s="271">
        <v>0</v>
      </c>
      <c r="H19" s="271">
        <v>0</v>
      </c>
      <c r="I19" s="271">
        <v>0</v>
      </c>
      <c r="J19" s="271">
        <v>0</v>
      </c>
      <c r="K19" s="323"/>
    </row>
    <row r="20" spans="1:11" ht="15.75">
      <c r="A20" s="320"/>
      <c r="B20" s="81" t="s">
        <v>20</v>
      </c>
      <c r="C20" s="51" t="s">
        <v>37</v>
      </c>
      <c r="D20" s="271">
        <v>0</v>
      </c>
      <c r="E20" s="271">
        <v>0</v>
      </c>
      <c r="F20" s="271"/>
      <c r="G20" s="271">
        <v>0</v>
      </c>
      <c r="H20" s="271">
        <v>0</v>
      </c>
      <c r="I20" s="271">
        <v>0</v>
      </c>
      <c r="J20" s="271">
        <v>0</v>
      </c>
      <c r="K20" s="323"/>
    </row>
    <row r="21" spans="1:11" ht="15.75">
      <c r="A21" s="321"/>
      <c r="B21" s="51" t="s">
        <v>21</v>
      </c>
      <c r="C21" s="51" t="s">
        <v>37</v>
      </c>
      <c r="D21" s="271">
        <v>0</v>
      </c>
      <c r="E21" s="271">
        <v>0</v>
      </c>
      <c r="F21" s="271">
        <v>-6.5158170000000002</v>
      </c>
      <c r="G21" s="271">
        <v>-1.3746888432000002</v>
      </c>
      <c r="H21" s="271">
        <v>0</v>
      </c>
      <c r="I21" s="271">
        <v>0</v>
      </c>
      <c r="J21" s="271">
        <v>0</v>
      </c>
      <c r="K21" s="324"/>
    </row>
    <row r="22" spans="1:11" ht="15.75">
      <c r="A22" s="64" t="s">
        <v>1418</v>
      </c>
      <c r="B22" s="51" t="s">
        <v>22</v>
      </c>
      <c r="C22" s="51" t="s">
        <v>38</v>
      </c>
      <c r="D22" s="271">
        <v>2.9758529189024996</v>
      </c>
      <c r="E22" s="271">
        <v>6.865301528999999</v>
      </c>
      <c r="F22" s="271">
        <v>6.3613318192109984</v>
      </c>
      <c r="G22" s="271">
        <v>7.0846103770775999</v>
      </c>
      <c r="H22" s="271">
        <v>0</v>
      </c>
      <c r="I22" s="271">
        <v>0</v>
      </c>
      <c r="J22" s="271">
        <v>0</v>
      </c>
      <c r="K22" s="80"/>
    </row>
    <row r="23" spans="1:11" ht="31.5">
      <c r="A23" s="64" t="s">
        <v>1417</v>
      </c>
      <c r="B23" s="51" t="s">
        <v>23</v>
      </c>
      <c r="C23" s="51" t="s">
        <v>39</v>
      </c>
      <c r="D23" s="271">
        <v>-0.48825320358997359</v>
      </c>
      <c r="E23" s="271">
        <v>-0.50246137181444184</v>
      </c>
      <c r="F23" s="271">
        <v>0</v>
      </c>
      <c r="G23" s="271">
        <v>0</v>
      </c>
      <c r="H23" s="271">
        <v>0</v>
      </c>
      <c r="I23" s="271">
        <v>0</v>
      </c>
      <c r="J23" s="271">
        <v>0</v>
      </c>
      <c r="K23" s="78"/>
    </row>
    <row r="24" spans="1:11" ht="15.75">
      <c r="A24" s="64" t="s">
        <v>1416</v>
      </c>
      <c r="B24" s="51" t="s">
        <v>24</v>
      </c>
      <c r="C24" s="51" t="s">
        <v>40</v>
      </c>
      <c r="D24" s="271">
        <v>6.2001600000000004E-2</v>
      </c>
      <c r="E24" s="271">
        <v>0.14399999999999999</v>
      </c>
      <c r="F24" s="271">
        <v>0.6885</v>
      </c>
      <c r="G24" s="271">
        <v>1.1203510000000001</v>
      </c>
      <c r="H24" s="271">
        <v>1.1674125000000002</v>
      </c>
      <c r="I24" s="271">
        <v>1.2149045700000001</v>
      </c>
      <c r="J24" s="271">
        <v>1.2641954929500001</v>
      </c>
      <c r="K24" s="78"/>
    </row>
    <row r="25" spans="1:11" ht="31.5">
      <c r="A25" s="64" t="s">
        <v>1415</v>
      </c>
      <c r="B25" s="79" t="s">
        <v>25</v>
      </c>
      <c r="C25" s="51" t="s">
        <v>41</v>
      </c>
      <c r="D25" s="271">
        <v>1.1161394978764918</v>
      </c>
      <c r="E25" s="271">
        <v>1.3449106148965444</v>
      </c>
      <c r="F25" s="271">
        <v>0</v>
      </c>
      <c r="G25" s="271">
        <v>0</v>
      </c>
      <c r="H25" s="271">
        <v>0</v>
      </c>
      <c r="I25" s="271">
        <v>0</v>
      </c>
      <c r="J25" s="271">
        <v>0</v>
      </c>
      <c r="K25" s="78"/>
    </row>
    <row r="26" spans="1:11" ht="31.5">
      <c r="A26" s="64" t="s">
        <v>1414</v>
      </c>
      <c r="B26" s="51" t="s">
        <v>1413</v>
      </c>
      <c r="C26" s="51" t="s">
        <v>42</v>
      </c>
      <c r="D26" s="271">
        <v>0</v>
      </c>
      <c r="E26" s="271">
        <v>0</v>
      </c>
      <c r="F26" s="271">
        <v>0</v>
      </c>
      <c r="G26" s="271">
        <v>0</v>
      </c>
      <c r="H26" s="271">
        <v>0</v>
      </c>
      <c r="I26" s="271">
        <v>0</v>
      </c>
      <c r="J26" s="271">
        <v>0</v>
      </c>
      <c r="K26" s="78"/>
    </row>
    <row r="27" spans="1:11" ht="15.75">
      <c r="A27" s="319" t="s">
        <v>1412</v>
      </c>
      <c r="B27" s="51" t="s">
        <v>26</v>
      </c>
      <c r="C27" s="51" t="s">
        <v>43</v>
      </c>
      <c r="D27" s="271">
        <v>2.7903000000000001E-2</v>
      </c>
      <c r="E27" s="271">
        <v>0.29561662999999999</v>
      </c>
      <c r="F27" s="271"/>
      <c r="G27" s="271">
        <v>0</v>
      </c>
      <c r="H27" s="271">
        <v>0</v>
      </c>
      <c r="I27" s="271">
        <v>0</v>
      </c>
      <c r="J27" s="271">
        <v>0</v>
      </c>
      <c r="K27" s="49"/>
    </row>
    <row r="28" spans="1:11" ht="15.75">
      <c r="A28" s="320"/>
      <c r="B28" s="51" t="s">
        <v>27</v>
      </c>
      <c r="C28" s="51" t="s">
        <v>43</v>
      </c>
      <c r="D28" s="271">
        <v>1.585</v>
      </c>
      <c r="E28" s="271">
        <v>0.98428523999999995</v>
      </c>
      <c r="F28" s="271">
        <v>0.82881522035956057</v>
      </c>
      <c r="G28" s="271">
        <v>0</v>
      </c>
      <c r="H28" s="271">
        <v>0</v>
      </c>
      <c r="I28" s="271">
        <v>0</v>
      </c>
      <c r="J28" s="271">
        <v>0</v>
      </c>
      <c r="K28" s="49"/>
    </row>
    <row r="29" spans="1:11" ht="15.75">
      <c r="A29" s="321"/>
      <c r="B29" s="51" t="s">
        <v>28</v>
      </c>
      <c r="C29" s="51" t="s">
        <v>43</v>
      </c>
      <c r="D29" s="271">
        <v>0</v>
      </c>
      <c r="E29" s="271">
        <v>0</v>
      </c>
      <c r="F29" s="271"/>
      <c r="G29" s="271">
        <v>0</v>
      </c>
      <c r="H29" s="271">
        <v>0</v>
      </c>
      <c r="I29" s="271">
        <v>0</v>
      </c>
      <c r="J29" s="271">
        <v>0</v>
      </c>
      <c r="K29" s="49"/>
    </row>
    <row r="30" spans="1:11" ht="47.25">
      <c r="A30" s="66" t="s">
        <v>1411</v>
      </c>
      <c r="B30" s="62"/>
      <c r="C30" s="62"/>
      <c r="D30" s="61">
        <f t="shared" ref="D30" si="2">SUM(D18:D29)</f>
        <v>5.2786438131890172</v>
      </c>
      <c r="E30" s="61">
        <f t="shared" ref="E30:J30" si="3">SUM(E18:E29)</f>
        <v>9.131652642082102</v>
      </c>
      <c r="F30" s="61">
        <f t="shared" si="3"/>
        <v>1.3628300395705588</v>
      </c>
      <c r="G30" s="61">
        <f t="shared" si="3"/>
        <v>6.8302725338775998</v>
      </c>
      <c r="H30" s="61">
        <f t="shared" si="3"/>
        <v>1.1674125000000002</v>
      </c>
      <c r="I30" s="61">
        <f t="shared" si="3"/>
        <v>1.2149045700000001</v>
      </c>
      <c r="J30" s="61">
        <f t="shared" si="3"/>
        <v>1.2641954929500001</v>
      </c>
      <c r="K30" s="60" t="s">
        <v>1410</v>
      </c>
    </row>
    <row r="31" spans="1:11" ht="15.75">
      <c r="A31" s="58" t="s">
        <v>1409</v>
      </c>
      <c r="B31" s="77" t="s">
        <v>29</v>
      </c>
      <c r="C31" s="62" t="s">
        <v>35</v>
      </c>
      <c r="D31" s="76"/>
      <c r="E31" s="76"/>
      <c r="F31" s="76"/>
      <c r="G31" s="76">
        <v>8.7322345764641227</v>
      </c>
      <c r="H31" s="76">
        <v>0</v>
      </c>
      <c r="I31" s="76">
        <v>0</v>
      </c>
      <c r="J31" s="76">
        <v>0</v>
      </c>
      <c r="K31" s="75"/>
    </row>
    <row r="32" spans="1:11" ht="15.75">
      <c r="A32" s="74" t="s">
        <v>1408</v>
      </c>
      <c r="B32" s="62" t="s">
        <v>30</v>
      </c>
      <c r="C32" s="62" t="s">
        <v>35</v>
      </c>
      <c r="D32" s="73"/>
      <c r="E32" s="73"/>
      <c r="F32" s="73"/>
      <c r="G32" s="73">
        <v>0</v>
      </c>
      <c r="H32" s="73">
        <v>0</v>
      </c>
      <c r="I32" s="73">
        <v>0</v>
      </c>
      <c r="J32" s="73">
        <v>0</v>
      </c>
      <c r="K32" s="72"/>
    </row>
    <row r="33" spans="1:11" ht="31.5">
      <c r="A33" s="71" t="s">
        <v>1407</v>
      </c>
      <c r="B33" s="62" t="s">
        <v>31</v>
      </c>
      <c r="C33" s="70"/>
      <c r="D33" s="57">
        <f t="shared" ref="D33:J33" si="4">D11+D17+D30+D31+D32</f>
        <v>270.45991540976041</v>
      </c>
      <c r="E33" s="57">
        <f t="shared" si="4"/>
        <v>297.19106128500857</v>
      </c>
      <c r="F33" s="57">
        <f t="shared" si="4"/>
        <v>216.35623003957056</v>
      </c>
      <c r="G33" s="57">
        <f t="shared" si="4"/>
        <v>239.63270711034173</v>
      </c>
      <c r="H33" s="57">
        <f t="shared" si="4"/>
        <v>234.64991250000003</v>
      </c>
      <c r="I33" s="57">
        <f t="shared" si="4"/>
        <v>244.19581857</v>
      </c>
      <c r="J33" s="57">
        <f t="shared" si="4"/>
        <v>254.10329408295001</v>
      </c>
      <c r="K33" s="56" t="s">
        <v>1406</v>
      </c>
    </row>
    <row r="34" spans="1:11" ht="31.5">
      <c r="A34" s="68" t="s">
        <v>1405</v>
      </c>
      <c r="B34" s="69" t="s">
        <v>32</v>
      </c>
      <c r="C34" s="51" t="s">
        <v>44</v>
      </c>
      <c r="D34" s="271">
        <v>0.69335352798000005</v>
      </c>
      <c r="E34" s="271">
        <v>0.71353011564421798</v>
      </c>
      <c r="F34" s="271"/>
      <c r="G34" s="271">
        <v>0</v>
      </c>
      <c r="H34" s="271">
        <v>0</v>
      </c>
      <c r="I34" s="271">
        <v>0</v>
      </c>
      <c r="J34" s="271">
        <v>0</v>
      </c>
      <c r="K34" s="49"/>
    </row>
    <row r="35" spans="1:11" ht="31.5">
      <c r="A35" s="68" t="s">
        <v>1404</v>
      </c>
      <c r="B35" s="51" t="s">
        <v>33</v>
      </c>
      <c r="C35" s="51" t="s">
        <v>44</v>
      </c>
      <c r="D35" s="271">
        <v>0</v>
      </c>
      <c r="E35" s="271">
        <v>0</v>
      </c>
      <c r="F35" s="271"/>
      <c r="G35" s="271">
        <v>0</v>
      </c>
      <c r="H35" s="271">
        <v>0</v>
      </c>
      <c r="I35" s="271">
        <v>0</v>
      </c>
      <c r="J35" s="271">
        <v>0</v>
      </c>
      <c r="K35" s="49"/>
    </row>
    <row r="36" spans="1:11" ht="31.5">
      <c r="A36" s="68" t="s">
        <v>1403</v>
      </c>
      <c r="B36" s="51" t="s">
        <v>34</v>
      </c>
      <c r="C36" s="51" t="s">
        <v>44</v>
      </c>
      <c r="D36" s="271">
        <v>0</v>
      </c>
      <c r="E36" s="271">
        <v>0</v>
      </c>
      <c r="F36" s="271"/>
      <c r="G36" s="271">
        <v>0</v>
      </c>
      <c r="H36" s="271">
        <v>0</v>
      </c>
      <c r="I36" s="271">
        <v>0</v>
      </c>
      <c r="J36" s="271">
        <v>0</v>
      </c>
      <c r="K36" s="53"/>
    </row>
    <row r="37" spans="1:11" ht="31.5">
      <c r="A37" s="67" t="s">
        <v>1402</v>
      </c>
      <c r="B37" s="51"/>
      <c r="C37" s="51"/>
      <c r="D37" s="271">
        <v>0</v>
      </c>
      <c r="E37" s="271">
        <v>0</v>
      </c>
      <c r="F37" s="271"/>
      <c r="G37" s="271">
        <v>0</v>
      </c>
      <c r="H37" s="271">
        <v>0</v>
      </c>
      <c r="I37" s="271">
        <v>0</v>
      </c>
      <c r="J37" s="271">
        <v>0</v>
      </c>
      <c r="K37" s="53"/>
    </row>
    <row r="38" spans="1:11" ht="31.5">
      <c r="A38" s="67" t="s">
        <v>1401</v>
      </c>
      <c r="B38" s="51"/>
      <c r="C38" s="51"/>
      <c r="D38" s="271">
        <v>0</v>
      </c>
      <c r="E38" s="271">
        <v>0</v>
      </c>
      <c r="F38" s="271"/>
      <c r="G38" s="271">
        <v>0</v>
      </c>
      <c r="H38" s="271">
        <v>0</v>
      </c>
      <c r="I38" s="271">
        <v>0</v>
      </c>
      <c r="J38" s="271">
        <v>0</v>
      </c>
      <c r="K38" s="53"/>
    </row>
    <row r="39" spans="1:11" ht="47.25">
      <c r="A39" s="66" t="s">
        <v>1400</v>
      </c>
      <c r="B39" s="62"/>
      <c r="C39" s="62"/>
      <c r="D39" s="61">
        <f t="shared" ref="D39" si="5">SUM(D34:D38)</f>
        <v>0.69335352798000005</v>
      </c>
      <c r="E39" s="61">
        <f t="shared" ref="E39:J39" si="6">SUM(E34:E38)</f>
        <v>0.71353011564421798</v>
      </c>
      <c r="F39" s="61">
        <f t="shared" si="6"/>
        <v>0</v>
      </c>
      <c r="G39" s="61">
        <f t="shared" si="6"/>
        <v>0</v>
      </c>
      <c r="H39" s="61">
        <f t="shared" si="6"/>
        <v>0</v>
      </c>
      <c r="I39" s="61">
        <f t="shared" si="6"/>
        <v>0</v>
      </c>
      <c r="J39" s="61">
        <f t="shared" si="6"/>
        <v>0</v>
      </c>
      <c r="K39" s="60" t="s">
        <v>1399</v>
      </c>
    </row>
    <row r="40" spans="1:11" ht="47.25">
      <c r="A40" s="59" t="s">
        <v>1398</v>
      </c>
      <c r="B40" s="65"/>
      <c r="C40" s="65"/>
      <c r="D40" s="57">
        <f t="shared" ref="D40:J40" si="7">D39+D33</f>
        <v>271.15326893774039</v>
      </c>
      <c r="E40" s="57">
        <f t="shared" si="7"/>
        <v>297.90459140065281</v>
      </c>
      <c r="F40" s="57">
        <f t="shared" si="7"/>
        <v>216.35623003957056</v>
      </c>
      <c r="G40" s="57">
        <f t="shared" si="7"/>
        <v>239.63270711034173</v>
      </c>
      <c r="H40" s="57">
        <f t="shared" si="7"/>
        <v>234.64991250000003</v>
      </c>
      <c r="I40" s="57">
        <f t="shared" si="7"/>
        <v>244.19581857</v>
      </c>
      <c r="J40" s="57">
        <f t="shared" si="7"/>
        <v>254.10329408295001</v>
      </c>
      <c r="K40" s="56" t="s">
        <v>7</v>
      </c>
    </row>
    <row r="41" spans="1:11" ht="31.5">
      <c r="A41" s="64" t="s">
        <v>1397</v>
      </c>
      <c r="B41" s="51"/>
      <c r="C41" s="51"/>
      <c r="D41" s="271">
        <v>13.702797419861099</v>
      </c>
      <c r="E41" s="271">
        <v>14.059898134532499</v>
      </c>
      <c r="F41" s="271">
        <v>11.776209371602086</v>
      </c>
      <c r="G41" s="271">
        <v>13.043141538836482</v>
      </c>
      <c r="H41" s="271">
        <v>12.771929415310654</v>
      </c>
      <c r="I41" s="271">
        <v>13.2915104253024</v>
      </c>
      <c r="J41" s="271">
        <v>13.830771559419874</v>
      </c>
      <c r="K41" s="49"/>
    </row>
    <row r="42" spans="1:11" ht="31.5">
      <c r="A42" s="64" t="s">
        <v>1396</v>
      </c>
      <c r="B42" s="51"/>
      <c r="C42" s="51"/>
      <c r="D42" s="271">
        <v>0</v>
      </c>
      <c r="E42" s="271">
        <v>0</v>
      </c>
      <c r="F42" s="271"/>
      <c r="G42" s="271">
        <v>0</v>
      </c>
      <c r="H42" s="271">
        <v>0</v>
      </c>
      <c r="I42" s="271">
        <v>0</v>
      </c>
      <c r="J42" s="271">
        <v>0</v>
      </c>
      <c r="K42" s="49"/>
    </row>
    <row r="43" spans="1:11" ht="47.25">
      <c r="A43" s="63" t="s">
        <v>1395</v>
      </c>
      <c r="B43" s="51"/>
      <c r="C43" s="51"/>
      <c r="D43" s="271">
        <v>0</v>
      </c>
      <c r="E43" s="271">
        <v>-5.108250774</v>
      </c>
      <c r="F43" s="271"/>
      <c r="G43" s="271">
        <v>5.3962026574666924</v>
      </c>
      <c r="H43" s="271">
        <v>0</v>
      </c>
      <c r="I43" s="271">
        <v>0</v>
      </c>
      <c r="J43" s="271">
        <v>0</v>
      </c>
      <c r="K43" s="53"/>
    </row>
    <row r="44" spans="1:11" ht="47.25">
      <c r="A44" s="63" t="s">
        <v>1394</v>
      </c>
      <c r="B44" s="51"/>
      <c r="C44" s="51"/>
      <c r="D44" s="271">
        <v>0</v>
      </c>
      <c r="E44" s="271">
        <v>0</v>
      </c>
      <c r="F44" s="271"/>
      <c r="G44" s="271"/>
      <c r="H44" s="271"/>
      <c r="I44" s="271"/>
      <c r="J44" s="271"/>
      <c r="K44" s="53"/>
    </row>
    <row r="45" spans="1:11" ht="31.5">
      <c r="A45" s="58" t="s">
        <v>1393</v>
      </c>
      <c r="B45" s="62"/>
      <c r="C45" s="62"/>
      <c r="D45" s="61">
        <f t="shared" ref="D45:J45" si="8">D41+D42+D43+D44</f>
        <v>13.702797419861099</v>
      </c>
      <c r="E45" s="61">
        <f t="shared" si="8"/>
        <v>8.9516473605324993</v>
      </c>
      <c r="F45" s="61">
        <f t="shared" si="8"/>
        <v>11.776209371602086</v>
      </c>
      <c r="G45" s="61">
        <f t="shared" si="8"/>
        <v>18.439344196303175</v>
      </c>
      <c r="H45" s="61">
        <f t="shared" si="8"/>
        <v>12.771929415310654</v>
      </c>
      <c r="I45" s="61">
        <f t="shared" si="8"/>
        <v>13.2915104253024</v>
      </c>
      <c r="J45" s="61">
        <f t="shared" si="8"/>
        <v>13.830771559419874</v>
      </c>
      <c r="K45" s="60" t="s">
        <v>1392</v>
      </c>
    </row>
    <row r="46" spans="1:11" ht="31.5">
      <c r="A46" s="59" t="s">
        <v>1391</v>
      </c>
      <c r="B46" s="58"/>
      <c r="C46" s="58"/>
      <c r="D46" s="57">
        <f t="shared" ref="D46:J46" si="9">D40-D45</f>
        <v>257.45047151787929</v>
      </c>
      <c r="E46" s="57">
        <f t="shared" si="9"/>
        <v>288.95294404012031</v>
      </c>
      <c r="F46" s="57">
        <f t="shared" si="9"/>
        <v>204.58002066796848</v>
      </c>
      <c r="G46" s="57">
        <f t="shared" si="9"/>
        <v>221.19336291403854</v>
      </c>
      <c r="H46" s="57">
        <f t="shared" si="9"/>
        <v>221.87798308468936</v>
      </c>
      <c r="I46" s="57">
        <f t="shared" si="9"/>
        <v>230.90430814469761</v>
      </c>
      <c r="J46" s="57">
        <f t="shared" si="9"/>
        <v>240.27252252353014</v>
      </c>
      <c r="K46" s="56" t="s">
        <v>1390</v>
      </c>
    </row>
    <row r="47" spans="1:11" ht="15.75">
      <c r="A47" s="59" t="s">
        <v>1389</v>
      </c>
      <c r="B47" s="58"/>
      <c r="C47" s="58"/>
      <c r="D47" s="272">
        <v>343.5115825339725</v>
      </c>
      <c r="E47" s="272">
        <v>358.90685331987498</v>
      </c>
      <c r="F47" s="272">
        <f>F46</f>
        <v>204.58002066796848</v>
      </c>
      <c r="G47" s="271">
        <f>G46</f>
        <v>221.19336291403854</v>
      </c>
      <c r="H47" s="271">
        <f t="shared" ref="H47:J47" si="10">H46</f>
        <v>221.87798308468936</v>
      </c>
      <c r="I47" s="271">
        <f t="shared" si="10"/>
        <v>230.90430814469761</v>
      </c>
      <c r="J47" s="271">
        <f t="shared" si="10"/>
        <v>240.27252252353014</v>
      </c>
      <c r="K47" s="56"/>
    </row>
    <row r="48" spans="1:11" ht="15.75">
      <c r="A48" s="52" t="s">
        <v>1388</v>
      </c>
      <c r="B48" s="51"/>
      <c r="C48" s="51"/>
      <c r="D48" s="272">
        <v>273.35887818999998</v>
      </c>
      <c r="E48" s="272">
        <v>273.70260340139606</v>
      </c>
      <c r="F48" s="272">
        <f>F40</f>
        <v>216.35623003957056</v>
      </c>
      <c r="G48" s="271">
        <f>G40</f>
        <v>239.63270711034173</v>
      </c>
      <c r="H48" s="271">
        <f t="shared" ref="H48:J48" si="11">H40</f>
        <v>234.64991250000003</v>
      </c>
      <c r="I48" s="271">
        <f t="shared" si="11"/>
        <v>244.19581857</v>
      </c>
      <c r="J48" s="271">
        <f t="shared" si="11"/>
        <v>254.10329408295001</v>
      </c>
      <c r="K48" s="53"/>
    </row>
    <row r="49" spans="1:11" ht="31.5">
      <c r="A49" s="52" t="s">
        <v>1387</v>
      </c>
      <c r="B49" s="51"/>
      <c r="C49" s="51"/>
      <c r="D49" s="55">
        <f t="shared" ref="D49:J49" si="12">D48-D39-D33+D42</f>
        <v>2.2056092522595918</v>
      </c>
      <c r="E49" s="55">
        <f t="shared" si="12"/>
        <v>-24.201987999256744</v>
      </c>
      <c r="F49" s="55">
        <f t="shared" si="12"/>
        <v>0</v>
      </c>
      <c r="G49" s="55">
        <f t="shared" si="12"/>
        <v>0</v>
      </c>
      <c r="H49" s="55">
        <f t="shared" si="12"/>
        <v>0</v>
      </c>
      <c r="I49" s="55">
        <f t="shared" si="12"/>
        <v>0</v>
      </c>
      <c r="J49" s="55">
        <f t="shared" si="12"/>
        <v>0</v>
      </c>
      <c r="K49" s="53" t="s">
        <v>1386</v>
      </c>
    </row>
    <row r="50" spans="1:11" ht="31.5">
      <c r="A50" s="52" t="s">
        <v>1385</v>
      </c>
      <c r="B50" s="51"/>
      <c r="C50" s="51"/>
      <c r="D50" s="54" t="e">
        <f t="shared" ref="D50:J50" si="13">D33/C33-1</f>
        <v>#DIV/0!</v>
      </c>
      <c r="E50" s="54">
        <f t="shared" si="13"/>
        <v>9.8835887879167306E-2</v>
      </c>
      <c r="F50" s="54">
        <f t="shared" si="13"/>
        <v>-0.27199617275136267</v>
      </c>
      <c r="G50" s="54">
        <f t="shared" si="13"/>
        <v>0.1075840389089513</v>
      </c>
      <c r="H50" s="54">
        <f t="shared" si="13"/>
        <v>-2.0793466261044724E-2</v>
      </c>
      <c r="I50" s="54">
        <f t="shared" si="13"/>
        <v>4.0681481481481319E-2</v>
      </c>
      <c r="J50" s="54">
        <f t="shared" si="13"/>
        <v>4.0571847507331338E-2</v>
      </c>
      <c r="K50" s="53" t="s">
        <v>1384</v>
      </c>
    </row>
    <row r="51" spans="1:11" ht="47.25">
      <c r="A51" s="52" t="s">
        <v>1383</v>
      </c>
      <c r="B51" s="51"/>
      <c r="C51" s="51"/>
      <c r="D51" s="50" t="e">
        <f t="shared" ref="D51:J51" si="14">D48/C48-1</f>
        <v>#DIV/0!</v>
      </c>
      <c r="E51" s="50">
        <f t="shared" si="14"/>
        <v>1.2574137473493341E-3</v>
      </c>
      <c r="F51" s="50">
        <f t="shared" si="14"/>
        <v>-0.20952074495880735</v>
      </c>
      <c r="G51" s="50">
        <f t="shared" si="14"/>
        <v>0.1075840389089513</v>
      </c>
      <c r="H51" s="50">
        <f t="shared" si="14"/>
        <v>-2.0793466261044724E-2</v>
      </c>
      <c r="I51" s="50">
        <f t="shared" si="14"/>
        <v>4.0681481481481319E-2</v>
      </c>
      <c r="J51" s="50">
        <f t="shared" si="14"/>
        <v>4.0571847507331338E-2</v>
      </c>
      <c r="K51" s="49"/>
    </row>
  </sheetData>
  <mergeCells count="3">
    <mergeCell ref="A18:A21"/>
    <mergeCell ref="K18:K21"/>
    <mergeCell ref="A27:A29"/>
  </mergeCells>
  <pageMargins left="0.70866141732283472" right="0.70866141732283472" top="0.74803149606299213" bottom="0.74803149606299213" header="0.31496062992125984" footer="0.31496062992125984"/>
  <pageSetup paperSize="9" scale="46"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1"/>
  </sheetPr>
  <dimension ref="A1:M123"/>
  <sheetViews>
    <sheetView showGridLines="0" topLeftCell="A85" workbookViewId="0">
      <selection activeCell="A110" sqref="A110"/>
    </sheetView>
  </sheetViews>
  <sheetFormatPr defaultColWidth="8.85546875" defaultRowHeight="15"/>
  <cols>
    <col min="1" max="1" width="38.42578125" style="147" customWidth="1"/>
    <col min="2" max="4" width="10" style="147" customWidth="1"/>
    <col min="5" max="5" width="15.28515625" style="147" customWidth="1"/>
    <col min="6" max="10" width="10" style="147" customWidth="1"/>
    <col min="11" max="13" width="13.5703125" style="147" bestFit="1" customWidth="1"/>
    <col min="14" max="16384" width="8.85546875" style="147"/>
  </cols>
  <sheetData>
    <row r="1" spans="1:5" ht="15.75">
      <c r="A1" s="187" t="s">
        <v>1514</v>
      </c>
      <c r="B1" s="336" t="str">
        <f>+'CDCM Forecast Data'!E3</f>
        <v>WPD South Wales</v>
      </c>
      <c r="C1" s="337"/>
      <c r="D1" s="337"/>
      <c r="E1" s="338"/>
    </row>
    <row r="2" spans="1:5" ht="15.75">
      <c r="A2" s="187" t="s">
        <v>1513</v>
      </c>
      <c r="B2" s="339" t="str">
        <f>+'CDCM Forecast Data'!E11</f>
        <v>2015/16</v>
      </c>
      <c r="C2" s="340"/>
      <c r="D2" s="167"/>
      <c r="E2" s="167"/>
    </row>
    <row r="3" spans="1:5">
      <c r="A3" s="189"/>
      <c r="B3" s="167"/>
      <c r="C3" s="167"/>
      <c r="D3" s="167"/>
      <c r="E3" s="167"/>
    </row>
    <row r="4" spans="1:5" ht="15.75">
      <c r="A4" s="187" t="s">
        <v>1512</v>
      </c>
      <c r="B4" s="336" t="str">
        <f>+'CDCM Forecast Data'!D11</f>
        <v>2014/15</v>
      </c>
      <c r="C4" s="338"/>
      <c r="D4" s="167"/>
      <c r="E4" s="167"/>
    </row>
    <row r="5" spans="1:5">
      <c r="A5" s="167"/>
      <c r="B5" s="188"/>
      <c r="C5" s="167"/>
      <c r="D5" s="167"/>
      <c r="E5" s="167"/>
    </row>
    <row r="6" spans="1:5" ht="15.75">
      <c r="A6" s="187" t="s">
        <v>1511</v>
      </c>
      <c r="B6" s="188"/>
      <c r="C6" s="167"/>
      <c r="D6" s="167"/>
      <c r="E6" s="167"/>
    </row>
    <row r="7" spans="1:5" ht="15.75">
      <c r="A7" s="187" t="s">
        <v>1510</v>
      </c>
      <c r="B7" s="186" t="s">
        <v>1482</v>
      </c>
      <c r="C7" s="167"/>
      <c r="D7" s="167"/>
      <c r="E7" s="167"/>
    </row>
    <row r="8" spans="1:5" ht="15.75">
      <c r="A8" s="187" t="s">
        <v>1509</v>
      </c>
      <c r="B8" s="186" t="s">
        <v>1483</v>
      </c>
      <c r="C8" s="167"/>
      <c r="D8" s="167"/>
      <c r="E8" s="167"/>
    </row>
    <row r="9" spans="1:5" ht="15.75">
      <c r="A9" s="187" t="s">
        <v>1508</v>
      </c>
      <c r="B9" s="186" t="s">
        <v>1484</v>
      </c>
      <c r="C9" s="172" t="s">
        <v>1249</v>
      </c>
      <c r="D9" s="167"/>
      <c r="E9" s="167"/>
    </row>
    <row r="10" spans="1:5" ht="18.75">
      <c r="A10" s="185"/>
      <c r="B10" s="167"/>
      <c r="C10" s="167"/>
      <c r="D10" s="167"/>
      <c r="E10" s="167"/>
    </row>
    <row r="11" spans="1:5" ht="15.75">
      <c r="A11" s="168" t="s">
        <v>1507</v>
      </c>
      <c r="B11" s="167"/>
      <c r="C11" s="167"/>
      <c r="D11" s="172" t="s">
        <v>1249</v>
      </c>
      <c r="E11" s="167"/>
    </row>
    <row r="12" spans="1:5">
      <c r="A12" s="167" t="s">
        <v>1506</v>
      </c>
      <c r="B12" s="167"/>
      <c r="C12" s="167"/>
      <c r="D12" s="167"/>
      <c r="E12" s="167"/>
    </row>
    <row r="13" spans="1:5" ht="15.75" thickBot="1">
      <c r="A13" s="167"/>
      <c r="B13" s="167"/>
      <c r="C13" s="167"/>
      <c r="D13" s="167"/>
      <c r="E13" s="167"/>
    </row>
    <row r="14" spans="1:5" ht="60">
      <c r="A14" s="180"/>
      <c r="B14" s="179" t="s">
        <v>1500</v>
      </c>
      <c r="C14" s="178" t="s">
        <v>1499</v>
      </c>
      <c r="D14" s="177" t="s">
        <v>1498</v>
      </c>
      <c r="E14" s="176" t="s">
        <v>1497</v>
      </c>
    </row>
    <row r="15" spans="1:5">
      <c r="A15" s="162" t="s">
        <v>92</v>
      </c>
      <c r="B15" s="160">
        <v>0.82829946586550229</v>
      </c>
      <c r="C15" s="101">
        <v>0.87135221770624804</v>
      </c>
      <c r="D15" s="159">
        <v>0.87313379737254493</v>
      </c>
      <c r="E15" s="175">
        <f>AVERAGE(B15:D15)</f>
        <v>0.85759516031476501</v>
      </c>
    </row>
    <row r="16" spans="1:5">
      <c r="A16" s="162" t="s">
        <v>93</v>
      </c>
      <c r="B16" s="160">
        <v>0.25762304675468678</v>
      </c>
      <c r="C16" s="101">
        <v>0.30109689638293319</v>
      </c>
      <c r="D16" s="159">
        <v>0.30716831304279391</v>
      </c>
      <c r="E16" s="175">
        <f>AVERAGE(B16:D16)</f>
        <v>0.28862941872680464</v>
      </c>
    </row>
    <row r="17" spans="1:5">
      <c r="A17" s="162" t="s">
        <v>129</v>
      </c>
      <c r="B17" s="184"/>
      <c r="C17" s="183"/>
      <c r="D17" s="182"/>
      <c r="E17" s="181"/>
    </row>
    <row r="18" spans="1:5">
      <c r="A18" s="162" t="s">
        <v>94</v>
      </c>
      <c r="B18" s="160">
        <v>0.652051891283291</v>
      </c>
      <c r="C18" s="101">
        <v>0.62266062289895086</v>
      </c>
      <c r="D18" s="159">
        <v>0.61718046070439103</v>
      </c>
      <c r="E18" s="175">
        <f>AVERAGE(B18:D18)</f>
        <v>0.63063099162887759</v>
      </c>
    </row>
    <row r="19" spans="1:5">
      <c r="A19" s="162" t="s">
        <v>95</v>
      </c>
      <c r="B19" s="160">
        <v>0.6713964033437182</v>
      </c>
      <c r="C19" s="101">
        <v>0.75733656886141665</v>
      </c>
      <c r="D19" s="159">
        <v>0.74775805521501271</v>
      </c>
      <c r="E19" s="175">
        <f>AVERAGE(B19:D19)</f>
        <v>0.72549700914004911</v>
      </c>
    </row>
    <row r="20" spans="1:5">
      <c r="A20" s="162" t="s">
        <v>130</v>
      </c>
      <c r="B20" s="184"/>
      <c r="C20" s="183"/>
      <c r="D20" s="182"/>
      <c r="E20" s="181"/>
    </row>
    <row r="21" spans="1:5">
      <c r="A21" s="162" t="s">
        <v>96</v>
      </c>
      <c r="B21" s="160">
        <v>0.77775313707009675</v>
      </c>
      <c r="C21" s="101">
        <v>0.77437847378352509</v>
      </c>
      <c r="D21" s="159">
        <v>0.76368058032589137</v>
      </c>
      <c r="E21" s="175">
        <f t="shared" ref="E21:E33" si="0">AVERAGE(B21:D21)</f>
        <v>0.77193739705983777</v>
      </c>
    </row>
    <row r="22" spans="1:5">
      <c r="A22" s="162" t="s">
        <v>97</v>
      </c>
      <c r="B22" s="160">
        <v>0.77775313707009675</v>
      </c>
      <c r="C22" s="101">
        <v>0.77437847378352509</v>
      </c>
      <c r="D22" s="159">
        <v>0.76368058032589137</v>
      </c>
      <c r="E22" s="175">
        <f t="shared" si="0"/>
        <v>0.77193739705983777</v>
      </c>
    </row>
    <row r="23" spans="1:5">
      <c r="A23" s="162" t="s">
        <v>110</v>
      </c>
      <c r="B23" s="160">
        <v>0.58536585365853655</v>
      </c>
      <c r="C23" s="101">
        <v>0.35048963599325322</v>
      </c>
      <c r="D23" s="159">
        <v>0.60834972405919774</v>
      </c>
      <c r="E23" s="175">
        <f t="shared" si="0"/>
        <v>0.5147350712369958</v>
      </c>
    </row>
    <row r="24" spans="1:5">
      <c r="A24" s="162" t="s">
        <v>1647</v>
      </c>
      <c r="B24" s="160">
        <v>0.79598893828873218</v>
      </c>
      <c r="C24" s="101">
        <v>0.83906553182193255</v>
      </c>
      <c r="D24" s="159">
        <v>0.84108999325421574</v>
      </c>
      <c r="E24" s="175">
        <f t="shared" ref="E24:E25" si="1">AVERAGE(B24:D24)</f>
        <v>0.82538148778829346</v>
      </c>
    </row>
    <row r="25" spans="1:5">
      <c r="A25" s="162" t="s">
        <v>1646</v>
      </c>
      <c r="B25" s="160">
        <v>0.65541556708855198</v>
      </c>
      <c r="C25" s="101">
        <v>0.64607843874095894</v>
      </c>
      <c r="D25" s="159">
        <v>0.63988564416895977</v>
      </c>
      <c r="E25" s="175">
        <f t="shared" si="1"/>
        <v>0.64712654999949026</v>
      </c>
    </row>
    <row r="26" spans="1:5">
      <c r="A26" s="162" t="s">
        <v>98</v>
      </c>
      <c r="B26" s="160">
        <v>0.77075405937027952</v>
      </c>
      <c r="C26" s="101">
        <v>0.7390384716234234</v>
      </c>
      <c r="D26" s="159">
        <v>0.78561498873688562</v>
      </c>
      <c r="E26" s="175">
        <f t="shared" si="0"/>
        <v>0.76513583991019607</v>
      </c>
    </row>
    <row r="27" spans="1:5">
      <c r="A27" s="162" t="s">
        <v>99</v>
      </c>
      <c r="B27" s="160">
        <v>0.77075405937027952</v>
      </c>
      <c r="C27" s="101">
        <v>0.7390384716234234</v>
      </c>
      <c r="D27" s="159">
        <v>0.78561498873688562</v>
      </c>
      <c r="E27" s="175">
        <f t="shared" si="0"/>
        <v>0.76513583991019607</v>
      </c>
    </row>
    <row r="28" spans="1:5">
      <c r="A28" s="162" t="s">
        <v>111</v>
      </c>
      <c r="B28" s="160">
        <v>0.86845683840801136</v>
      </c>
      <c r="C28" s="101">
        <v>0.82012073568795918</v>
      </c>
      <c r="D28" s="159">
        <v>0.86430749861101519</v>
      </c>
      <c r="E28" s="175">
        <f t="shared" si="0"/>
        <v>0.85096169090232854</v>
      </c>
    </row>
    <row r="29" spans="1:5">
      <c r="A29" s="162" t="s">
        <v>131</v>
      </c>
      <c r="B29" s="160">
        <v>1</v>
      </c>
      <c r="C29" s="101">
        <v>1</v>
      </c>
      <c r="D29" s="159">
        <v>1</v>
      </c>
      <c r="E29" s="175">
        <f t="shared" ref="E29" si="2">AVERAGE(B29:D29)</f>
        <v>1</v>
      </c>
    </row>
    <row r="30" spans="1:5">
      <c r="A30" s="162" t="s">
        <v>132</v>
      </c>
      <c r="B30" s="160">
        <v>1</v>
      </c>
      <c r="C30" s="101">
        <v>0.98165060037206175</v>
      </c>
      <c r="D30" s="159">
        <v>1</v>
      </c>
      <c r="E30" s="175">
        <f t="shared" si="0"/>
        <v>0.99388353345735381</v>
      </c>
    </row>
    <row r="31" spans="1:5">
      <c r="A31" s="162" t="s">
        <v>133</v>
      </c>
      <c r="B31" s="160">
        <v>1</v>
      </c>
      <c r="C31" s="101">
        <v>0.35971943887775548</v>
      </c>
      <c r="D31" s="159">
        <v>0.89178356713426854</v>
      </c>
      <c r="E31" s="175">
        <f t="shared" ref="E31" si="3">AVERAGE(B31:D31)</f>
        <v>0.75050100200400804</v>
      </c>
    </row>
    <row r="32" spans="1:5">
      <c r="A32" s="162" t="s">
        <v>134</v>
      </c>
      <c r="B32" s="160">
        <v>0</v>
      </c>
      <c r="C32" s="101">
        <v>0</v>
      </c>
      <c r="D32" s="159">
        <v>0</v>
      </c>
      <c r="E32" s="175">
        <f t="shared" si="0"/>
        <v>0</v>
      </c>
    </row>
    <row r="33" spans="1:5" ht="15.75" thickBot="1">
      <c r="A33" s="155" t="s">
        <v>135</v>
      </c>
      <c r="B33" s="153">
        <v>0.99876257204203855</v>
      </c>
      <c r="C33" s="152">
        <v>0.95735444611948006</v>
      </c>
      <c r="D33" s="151">
        <v>0.98082837356461716</v>
      </c>
      <c r="E33" s="174">
        <f t="shared" si="0"/>
        <v>0.97898179724204526</v>
      </c>
    </row>
    <row r="35" spans="1:5">
      <c r="A35" s="169"/>
      <c r="B35" s="169"/>
      <c r="C35" s="169"/>
      <c r="D35" s="169"/>
      <c r="E35" s="169"/>
    </row>
    <row r="37" spans="1:5" ht="15.75">
      <c r="A37" s="168" t="s">
        <v>1505</v>
      </c>
      <c r="B37" s="167"/>
      <c r="C37" s="167"/>
      <c r="D37" s="167"/>
      <c r="E37" s="167"/>
    </row>
    <row r="38" spans="1:5">
      <c r="A38" s="167" t="s">
        <v>1501</v>
      </c>
      <c r="B38" s="167"/>
      <c r="C38" s="167"/>
      <c r="D38" s="167"/>
      <c r="E38" s="167"/>
    </row>
    <row r="39" spans="1:5">
      <c r="A39" s="167"/>
      <c r="B39" s="167"/>
      <c r="C39" s="167"/>
      <c r="D39" s="167"/>
      <c r="E39" s="167"/>
    </row>
    <row r="40" spans="1:5" ht="15.75" thickBot="1">
      <c r="A40" s="167"/>
      <c r="B40" s="167"/>
      <c r="C40" s="167"/>
      <c r="D40" s="167"/>
      <c r="E40" s="167"/>
    </row>
    <row r="41" spans="1:5" ht="60">
      <c r="A41" s="180"/>
      <c r="B41" s="179" t="s">
        <v>1500</v>
      </c>
      <c r="C41" s="178" t="s">
        <v>1499</v>
      </c>
      <c r="D41" s="177" t="s">
        <v>1498</v>
      </c>
      <c r="E41" s="176" t="s">
        <v>1497</v>
      </c>
    </row>
    <row r="42" spans="1:5">
      <c r="A42" s="162" t="s">
        <v>92</v>
      </c>
      <c r="B42" s="160">
        <v>0.42943845012168591</v>
      </c>
      <c r="C42" s="101">
        <v>0.43919131573086712</v>
      </c>
      <c r="D42" s="159">
        <v>0.45147746553827212</v>
      </c>
      <c r="E42" s="175">
        <f t="shared" ref="E42:E60" si="4">AVERAGE(B42:D42)</f>
        <v>0.44003574379694171</v>
      </c>
    </row>
    <row r="43" spans="1:5">
      <c r="A43" s="162" t="s">
        <v>93</v>
      </c>
      <c r="B43" s="160">
        <v>0.22304626244630005</v>
      </c>
      <c r="C43" s="101">
        <v>0.25318111315738395</v>
      </c>
      <c r="D43" s="159">
        <v>0.27370958955762009</v>
      </c>
      <c r="E43" s="175">
        <f t="shared" si="4"/>
        <v>0.24997898838710139</v>
      </c>
    </row>
    <row r="44" spans="1:5">
      <c r="A44" s="162" t="s">
        <v>129</v>
      </c>
      <c r="B44" s="160">
        <v>0.40760909797196104</v>
      </c>
      <c r="C44" s="101">
        <v>0.18128510363685449</v>
      </c>
      <c r="D44" s="159">
        <v>0.18276101415870169</v>
      </c>
      <c r="E44" s="175">
        <f t="shared" si="4"/>
        <v>0.25721840525583911</v>
      </c>
    </row>
    <row r="45" spans="1:5">
      <c r="A45" s="162" t="s">
        <v>94</v>
      </c>
      <c r="B45" s="160">
        <v>0.40573429712493519</v>
      </c>
      <c r="C45" s="101">
        <v>0.4085906796462328</v>
      </c>
      <c r="D45" s="159">
        <v>0.41993275026267846</v>
      </c>
      <c r="E45" s="175">
        <f t="shared" si="4"/>
        <v>0.41141924234461547</v>
      </c>
    </row>
    <row r="46" spans="1:5">
      <c r="A46" s="162" t="s">
        <v>95</v>
      </c>
      <c r="B46" s="160">
        <v>0.51054148336824368</v>
      </c>
      <c r="C46" s="101">
        <v>0.56080183694378172</v>
      </c>
      <c r="D46" s="159">
        <v>0.58072710527350979</v>
      </c>
      <c r="E46" s="175">
        <f t="shared" si="4"/>
        <v>0.55069014186184517</v>
      </c>
    </row>
    <row r="47" spans="1:5">
      <c r="A47" s="162" t="s">
        <v>130</v>
      </c>
      <c r="B47" s="160">
        <v>0.43366893997295691</v>
      </c>
      <c r="C47" s="101">
        <v>0.19910335113220173</v>
      </c>
      <c r="D47" s="159">
        <v>0.20891628701647874</v>
      </c>
      <c r="E47" s="175">
        <f t="shared" si="4"/>
        <v>0.28056285937387915</v>
      </c>
    </row>
    <row r="48" spans="1:5">
      <c r="A48" s="162" t="s">
        <v>96</v>
      </c>
      <c r="B48" s="160">
        <v>0.53152399549244045</v>
      </c>
      <c r="C48" s="101">
        <v>0.55068369241813431</v>
      </c>
      <c r="D48" s="159">
        <v>0.54387162994108684</v>
      </c>
      <c r="E48" s="175">
        <f t="shared" si="4"/>
        <v>0.54202643928388716</v>
      </c>
    </row>
    <row r="49" spans="1:13">
      <c r="A49" s="162" t="s">
        <v>97</v>
      </c>
      <c r="B49" s="160">
        <v>0.53152399549244045</v>
      </c>
      <c r="C49" s="101">
        <v>0.55068369241813431</v>
      </c>
      <c r="D49" s="159">
        <v>0.54387162994108684</v>
      </c>
      <c r="E49" s="175">
        <f t="shared" si="4"/>
        <v>0.54202643928388716</v>
      </c>
    </row>
    <row r="50" spans="1:13">
      <c r="A50" s="162" t="s">
        <v>110</v>
      </c>
      <c r="B50" s="160">
        <v>0.44067128856219157</v>
      </c>
      <c r="C50" s="101">
        <v>0.23844894990534879</v>
      </c>
      <c r="D50" s="159">
        <v>0.43981051787908393</v>
      </c>
      <c r="E50" s="175">
        <f t="shared" si="4"/>
        <v>0.37297691878220807</v>
      </c>
    </row>
    <row r="51" spans="1:13">
      <c r="A51" s="162" t="s">
        <v>1647</v>
      </c>
      <c r="B51" s="160">
        <v>0.4177429686153552</v>
      </c>
      <c r="C51" s="101">
        <v>0.42841643441478711</v>
      </c>
      <c r="D51" s="159">
        <v>0.44115815370237654</v>
      </c>
      <c r="E51" s="175">
        <f t="shared" ref="E51:E52" si="5">AVERAGE(B51:D51)</f>
        <v>0.42910585224417291</v>
      </c>
    </row>
    <row r="52" spans="1:13">
      <c r="A52" s="162" t="s">
        <v>1646</v>
      </c>
      <c r="B52" s="160">
        <v>0.42399472269130373</v>
      </c>
      <c r="C52" s="101">
        <v>0.43417624320650344</v>
      </c>
      <c r="D52" s="159">
        <v>0.44699949722052651</v>
      </c>
      <c r="E52" s="175">
        <f t="shared" si="5"/>
        <v>0.43505682103944454</v>
      </c>
    </row>
    <row r="53" spans="1:13">
      <c r="A53" s="162" t="s">
        <v>98</v>
      </c>
      <c r="B53" s="160">
        <v>0.58010812773081133</v>
      </c>
      <c r="C53" s="101">
        <v>0.58882518924926985</v>
      </c>
      <c r="D53" s="159">
        <v>0.59449628093354345</v>
      </c>
      <c r="E53" s="175">
        <f t="shared" si="4"/>
        <v>0.58780986597120821</v>
      </c>
    </row>
    <row r="54" spans="1:13">
      <c r="A54" s="162" t="s">
        <v>99</v>
      </c>
      <c r="B54" s="160">
        <v>0.58010812773081133</v>
      </c>
      <c r="C54" s="101">
        <v>0.58882518924926985</v>
      </c>
      <c r="D54" s="159">
        <v>0.59449628093354345</v>
      </c>
      <c r="E54" s="175">
        <f t="shared" si="4"/>
        <v>0.58780986597120821</v>
      </c>
    </row>
    <row r="55" spans="1:13">
      <c r="A55" s="162" t="s">
        <v>111</v>
      </c>
      <c r="B55" s="160">
        <v>0.73969260876237175</v>
      </c>
      <c r="C55" s="101">
        <v>0.73391335996636498</v>
      </c>
      <c r="D55" s="159">
        <v>0.73928210445663123</v>
      </c>
      <c r="E55" s="175">
        <f t="shared" si="4"/>
        <v>0.73762935772845595</v>
      </c>
    </row>
    <row r="56" spans="1:13">
      <c r="A56" s="162" t="s">
        <v>131</v>
      </c>
      <c r="B56" s="160">
        <v>1</v>
      </c>
      <c r="C56" s="101">
        <v>1</v>
      </c>
      <c r="D56" s="159">
        <v>1</v>
      </c>
      <c r="E56" s="175">
        <f t="shared" si="4"/>
        <v>1</v>
      </c>
    </row>
    <row r="57" spans="1:13">
      <c r="A57" s="162" t="s">
        <v>132</v>
      </c>
      <c r="B57" s="160">
        <v>0.47392211187214633</v>
      </c>
      <c r="C57" s="101">
        <v>0.47268830307338033</v>
      </c>
      <c r="D57" s="159">
        <v>0.47268830307338033</v>
      </c>
      <c r="E57" s="175">
        <f t="shared" si="4"/>
        <v>0.47309957267296898</v>
      </c>
    </row>
    <row r="58" spans="1:13">
      <c r="A58" s="162" t="s">
        <v>133</v>
      </c>
      <c r="B58" s="160">
        <v>0.25334864155251147</v>
      </c>
      <c r="C58" s="101">
        <v>0.24123137828166405</v>
      </c>
      <c r="D58" s="159">
        <v>0.24123137828166405</v>
      </c>
      <c r="E58" s="175">
        <f t="shared" si="4"/>
        <v>0.24527046603861322</v>
      </c>
    </row>
    <row r="59" spans="1:13">
      <c r="A59" s="162" t="s">
        <v>134</v>
      </c>
      <c r="B59" s="160">
        <v>0.51148624429223766</v>
      </c>
      <c r="C59" s="101">
        <v>0.51551895355157085</v>
      </c>
      <c r="D59" s="159">
        <v>0.51551895355157085</v>
      </c>
      <c r="E59" s="175">
        <f t="shared" si="4"/>
        <v>0.51417471713179308</v>
      </c>
    </row>
    <row r="60" spans="1:13" ht="15.75" thickBot="1">
      <c r="A60" s="155" t="s">
        <v>135</v>
      </c>
      <c r="B60" s="153">
        <v>0.48676394857455607</v>
      </c>
      <c r="C60" s="152">
        <v>0.47294641169862389</v>
      </c>
      <c r="D60" s="151">
        <v>0.4631755190721108</v>
      </c>
      <c r="E60" s="174">
        <f t="shared" si="4"/>
        <v>0.47429529311509694</v>
      </c>
    </row>
    <row r="62" spans="1:13">
      <c r="A62" s="169"/>
      <c r="B62" s="169"/>
      <c r="C62" s="169"/>
      <c r="D62" s="169"/>
      <c r="E62" s="169"/>
    </row>
    <row r="64" spans="1:13" ht="15.75">
      <c r="A64" s="168" t="s">
        <v>1504</v>
      </c>
      <c r="B64" s="167"/>
      <c r="C64" s="167"/>
      <c r="D64" s="167"/>
      <c r="E64" s="167"/>
      <c r="F64" s="167"/>
      <c r="G64" s="167"/>
      <c r="H64" s="167"/>
      <c r="I64" s="167"/>
      <c r="J64" s="167"/>
      <c r="K64" s="167"/>
      <c r="L64" s="167"/>
      <c r="M64" s="167"/>
    </row>
    <row r="65" spans="1:13">
      <c r="A65" s="167" t="s">
        <v>1501</v>
      </c>
      <c r="B65" s="167"/>
      <c r="C65" s="167"/>
      <c r="D65" s="167"/>
      <c r="E65" s="167"/>
      <c r="F65" s="167"/>
      <c r="G65" s="167"/>
      <c r="H65" s="167"/>
      <c r="I65" s="167"/>
      <c r="J65" s="167"/>
      <c r="K65" s="167"/>
      <c r="L65" s="167"/>
      <c r="M65" s="167"/>
    </row>
    <row r="66" spans="1:13">
      <c r="A66" s="167"/>
      <c r="B66" s="167"/>
      <c r="C66" s="167"/>
      <c r="D66" s="167"/>
      <c r="E66" s="167"/>
      <c r="F66" s="167"/>
      <c r="G66" s="167"/>
      <c r="H66" s="167"/>
      <c r="I66" s="167"/>
      <c r="J66" s="167"/>
      <c r="K66" s="167"/>
      <c r="L66" s="167"/>
      <c r="M66" s="167"/>
    </row>
    <row r="67" spans="1:13" ht="15.75" thickBot="1">
      <c r="A67" s="167"/>
      <c r="B67" s="167"/>
      <c r="C67" s="167"/>
      <c r="D67" s="167"/>
      <c r="E67" s="167"/>
      <c r="F67" s="167"/>
      <c r="G67" s="167"/>
      <c r="H67" s="167"/>
      <c r="I67" s="167"/>
      <c r="J67" s="167"/>
      <c r="K67" s="167"/>
      <c r="L67" s="167"/>
      <c r="M67" s="167"/>
    </row>
    <row r="68" spans="1:13" ht="30" customHeight="1">
      <c r="A68" s="325"/>
      <c r="B68" s="327" t="s">
        <v>1500</v>
      </c>
      <c r="C68" s="328"/>
      <c r="D68" s="329"/>
      <c r="E68" s="327" t="s">
        <v>1499</v>
      </c>
      <c r="F68" s="330"/>
      <c r="G68" s="331"/>
      <c r="H68" s="327" t="s">
        <v>1498</v>
      </c>
      <c r="I68" s="330"/>
      <c r="J68" s="330"/>
      <c r="K68" s="327" t="s">
        <v>1497</v>
      </c>
      <c r="L68" s="330"/>
      <c r="M68" s="331"/>
    </row>
    <row r="69" spans="1:13">
      <c r="A69" s="326"/>
      <c r="B69" s="165" t="s">
        <v>233</v>
      </c>
      <c r="C69" s="164" t="s">
        <v>234</v>
      </c>
      <c r="D69" s="163" t="s">
        <v>235</v>
      </c>
      <c r="E69" s="165" t="s">
        <v>233</v>
      </c>
      <c r="F69" s="164" t="s">
        <v>234</v>
      </c>
      <c r="G69" s="163" t="s">
        <v>235</v>
      </c>
      <c r="H69" s="165" t="s">
        <v>233</v>
      </c>
      <c r="I69" s="164" t="s">
        <v>234</v>
      </c>
      <c r="J69" s="166" t="s">
        <v>235</v>
      </c>
      <c r="K69" s="165" t="s">
        <v>233</v>
      </c>
      <c r="L69" s="164" t="s">
        <v>234</v>
      </c>
      <c r="M69" s="163" t="s">
        <v>235</v>
      </c>
    </row>
    <row r="70" spans="1:13">
      <c r="A70" s="173" t="s">
        <v>92</v>
      </c>
      <c r="B70" s="160">
        <v>0.11328778960156409</v>
      </c>
      <c r="C70" s="101">
        <v>0.49870196955532975</v>
      </c>
      <c r="D70" s="161">
        <v>0.38801024084310615</v>
      </c>
      <c r="E70" s="160">
        <v>0.11286666364011266</v>
      </c>
      <c r="F70" s="101">
        <v>0.50374089536121947</v>
      </c>
      <c r="G70" s="161">
        <v>0.38339244099866793</v>
      </c>
      <c r="H70" s="160">
        <v>0.11279547138740474</v>
      </c>
      <c r="I70" s="101">
        <v>0.50427119014139588</v>
      </c>
      <c r="J70" s="159">
        <v>0.38293333847119942</v>
      </c>
      <c r="K70" s="158">
        <f t="shared" ref="K70:M78" si="6">AVERAGE(B70,E70,H70)</f>
        <v>0.11298330820969384</v>
      </c>
      <c r="L70" s="157">
        <f t="shared" si="6"/>
        <v>0.50223801835264836</v>
      </c>
      <c r="M70" s="156">
        <f t="shared" si="6"/>
        <v>0.38477867343765787</v>
      </c>
    </row>
    <row r="71" spans="1:13">
      <c r="A71" s="173" t="s">
        <v>93</v>
      </c>
      <c r="B71" s="160">
        <v>0.13537233230035153</v>
      </c>
      <c r="C71" s="101">
        <v>0.57305750638233899</v>
      </c>
      <c r="D71" s="161">
        <v>0.29157016131730951</v>
      </c>
      <c r="E71" s="160">
        <v>0.13154846711769258</v>
      </c>
      <c r="F71" s="101">
        <v>0.57901023152126097</v>
      </c>
      <c r="G71" s="161">
        <v>0.28944130136104645</v>
      </c>
      <c r="H71" s="160">
        <v>0.13289313217249923</v>
      </c>
      <c r="I71" s="101">
        <v>0.58075605486275972</v>
      </c>
      <c r="J71" s="159">
        <v>0.28635081296474107</v>
      </c>
      <c r="K71" s="158">
        <f t="shared" ref="K71:K72" si="7">AVERAGE(B71,E71,H71)</f>
        <v>0.13327131053018113</v>
      </c>
      <c r="L71" s="157">
        <f t="shared" ref="L71:L72" si="8">AVERAGE(C71,F71,I71)</f>
        <v>0.57760793092211993</v>
      </c>
      <c r="M71" s="156">
        <f t="shared" ref="M71:M72" si="9">AVERAGE(D71,G71,J71)</f>
        <v>0.28912075854769903</v>
      </c>
    </row>
    <row r="72" spans="1:13">
      <c r="A72" s="173" t="s">
        <v>129</v>
      </c>
      <c r="B72" s="160">
        <v>0</v>
      </c>
      <c r="C72" s="101">
        <v>0.16407856973574519</v>
      </c>
      <c r="D72" s="161">
        <v>0.83592143026425481</v>
      </c>
      <c r="E72" s="160">
        <v>8.5127773595875895E-7</v>
      </c>
      <c r="F72" s="101">
        <v>0.17286726728567328</v>
      </c>
      <c r="G72" s="161">
        <v>0.82713188143659078</v>
      </c>
      <c r="H72" s="160">
        <v>0</v>
      </c>
      <c r="I72" s="101">
        <v>0.17085255163702961</v>
      </c>
      <c r="J72" s="159">
        <v>0.82914744836297039</v>
      </c>
      <c r="K72" s="158">
        <f t="shared" si="7"/>
        <v>2.8375924531958633E-7</v>
      </c>
      <c r="L72" s="157">
        <f t="shared" si="8"/>
        <v>0.16926612955281603</v>
      </c>
      <c r="M72" s="156">
        <f t="shared" si="9"/>
        <v>0.83073358668793862</v>
      </c>
    </row>
    <row r="73" spans="1:13">
      <c r="A73" s="173" t="s">
        <v>94</v>
      </c>
      <c r="B73" s="160">
        <v>7.1817331423740985E-2</v>
      </c>
      <c r="C73" s="101">
        <v>0.58697712531820889</v>
      </c>
      <c r="D73" s="161">
        <v>0.34120554325805014</v>
      </c>
      <c r="E73" s="160">
        <v>7.0568054021071483E-2</v>
      </c>
      <c r="F73" s="101">
        <v>0.58345004257151523</v>
      </c>
      <c r="G73" s="161">
        <v>0.3459819034074133</v>
      </c>
      <c r="H73" s="160">
        <v>7.1226454233163497E-2</v>
      </c>
      <c r="I73" s="101">
        <v>0.58313662771336239</v>
      </c>
      <c r="J73" s="159">
        <v>0.34563691805347407</v>
      </c>
      <c r="K73" s="158">
        <f t="shared" si="6"/>
        <v>7.1203946559325326E-2</v>
      </c>
      <c r="L73" s="157">
        <f t="shared" si="6"/>
        <v>0.58452126520102876</v>
      </c>
      <c r="M73" s="156">
        <f t="shared" si="6"/>
        <v>0.3442747882396458</v>
      </c>
    </row>
    <row r="74" spans="1:13">
      <c r="A74" s="173" t="s">
        <v>95</v>
      </c>
      <c r="B74" s="160">
        <v>9.6022154105794191E-2</v>
      </c>
      <c r="C74" s="101">
        <v>0.63768793716382066</v>
      </c>
      <c r="D74" s="161">
        <v>0.26628990873038516</v>
      </c>
      <c r="E74" s="160">
        <v>9.8639705819379239E-2</v>
      </c>
      <c r="F74" s="101">
        <v>0.66334152675831259</v>
      </c>
      <c r="G74" s="161">
        <v>0.23801876742230815</v>
      </c>
      <c r="H74" s="160">
        <v>9.8853760702598159E-2</v>
      </c>
      <c r="I74" s="101">
        <v>0.66458576381629009</v>
      </c>
      <c r="J74" s="159">
        <v>0.23656047548111173</v>
      </c>
      <c r="K74" s="158">
        <f t="shared" si="6"/>
        <v>9.7838540209257197E-2</v>
      </c>
      <c r="L74" s="157">
        <f t="shared" si="6"/>
        <v>0.65520507591280774</v>
      </c>
      <c r="M74" s="156">
        <f t="shared" si="6"/>
        <v>0.24695638387793503</v>
      </c>
    </row>
    <row r="75" spans="1:13">
      <c r="A75" s="173" t="s">
        <v>130</v>
      </c>
      <c r="B75" s="160">
        <v>0</v>
      </c>
      <c r="C75" s="101">
        <v>0.18621716929984772</v>
      </c>
      <c r="D75" s="161">
        <v>0.81378283070015223</v>
      </c>
      <c r="E75" s="160">
        <v>8.8888338396447088E-5</v>
      </c>
      <c r="F75" s="101">
        <v>0.1707559552454502</v>
      </c>
      <c r="G75" s="161">
        <v>0.82915515641615334</v>
      </c>
      <c r="H75" s="160">
        <v>1.8021073605460045E-4</v>
      </c>
      <c r="I75" s="101">
        <v>0.17617427058216995</v>
      </c>
      <c r="J75" s="159">
        <v>0.82364551868177549</v>
      </c>
      <c r="K75" s="158">
        <f t="shared" si="6"/>
        <v>8.9699691483682498E-5</v>
      </c>
      <c r="L75" s="157">
        <f t="shared" si="6"/>
        <v>0.17771579837582263</v>
      </c>
      <c r="M75" s="156">
        <f t="shared" si="6"/>
        <v>0.82219450193269361</v>
      </c>
    </row>
    <row r="76" spans="1:13">
      <c r="A76" s="173" t="s">
        <v>96</v>
      </c>
      <c r="B76" s="160">
        <v>9.6033199765684946E-2</v>
      </c>
      <c r="C76" s="101">
        <v>0.63175066608603792</v>
      </c>
      <c r="D76" s="161">
        <v>0.27221613414827722</v>
      </c>
      <c r="E76" s="160">
        <v>0.10319904656964846</v>
      </c>
      <c r="F76" s="101">
        <v>0.6758798541466271</v>
      </c>
      <c r="G76" s="161">
        <v>0.22092109928372447</v>
      </c>
      <c r="H76" s="160">
        <v>0.10431418223518531</v>
      </c>
      <c r="I76" s="101">
        <v>0.67512843865899275</v>
      </c>
      <c r="J76" s="159">
        <v>0.2205573791058219</v>
      </c>
      <c r="K76" s="158">
        <f t="shared" si="6"/>
        <v>0.10118214285683957</v>
      </c>
      <c r="L76" s="157">
        <f t="shared" si="6"/>
        <v>0.66091965296388588</v>
      </c>
      <c r="M76" s="156">
        <f t="shared" si="6"/>
        <v>0.23789820417927454</v>
      </c>
    </row>
    <row r="77" spans="1:13">
      <c r="A77" s="173" t="s">
        <v>97</v>
      </c>
      <c r="B77" s="160">
        <v>9.6033199765684946E-2</v>
      </c>
      <c r="C77" s="101">
        <v>0.63175066608603792</v>
      </c>
      <c r="D77" s="161">
        <v>0.27221613414827722</v>
      </c>
      <c r="E77" s="160">
        <v>0.10319904656964846</v>
      </c>
      <c r="F77" s="101">
        <v>0.6758798541466271</v>
      </c>
      <c r="G77" s="161">
        <v>0.22092109928372447</v>
      </c>
      <c r="H77" s="160">
        <v>9.8287040002277309E-2</v>
      </c>
      <c r="I77" s="101">
        <v>0.6917597159062604</v>
      </c>
      <c r="J77" s="161">
        <v>0.20995324409146224</v>
      </c>
      <c r="K77" s="158">
        <f t="shared" si="6"/>
        <v>9.9173095445870232E-2</v>
      </c>
      <c r="L77" s="157">
        <f t="shared" si="6"/>
        <v>0.66646341204630843</v>
      </c>
      <c r="M77" s="156">
        <f t="shared" si="6"/>
        <v>0.23436349250782129</v>
      </c>
    </row>
    <row r="78" spans="1:13" ht="15.75" thickBot="1">
      <c r="A78" s="173" t="s">
        <v>110</v>
      </c>
      <c r="B78" s="153">
        <v>0.10051431596247763</v>
      </c>
      <c r="C78" s="152">
        <v>0.69375523758852298</v>
      </c>
      <c r="D78" s="154">
        <v>0.20573044644899938</v>
      </c>
      <c r="E78" s="153">
        <v>9.8226148466998425E-2</v>
      </c>
      <c r="F78" s="152">
        <v>0.69482642989148191</v>
      </c>
      <c r="G78" s="154">
        <v>0.20694742164151969</v>
      </c>
      <c r="H78" s="153">
        <v>9.8264475140315721E-2</v>
      </c>
      <c r="I78" s="152">
        <v>0.69534127122983014</v>
      </c>
      <c r="J78" s="151">
        <v>0.20639425362985417</v>
      </c>
      <c r="K78" s="150">
        <f t="shared" si="6"/>
        <v>9.9001646523263931E-2</v>
      </c>
      <c r="L78" s="149">
        <f t="shared" si="6"/>
        <v>0.69464097956994497</v>
      </c>
      <c r="M78" s="148">
        <f t="shared" si="6"/>
        <v>0.2063573739067911</v>
      </c>
    </row>
    <row r="80" spans="1:13">
      <c r="A80" s="169"/>
      <c r="B80" s="169"/>
      <c r="C80" s="169"/>
      <c r="D80" s="169"/>
      <c r="E80" s="169"/>
      <c r="F80" s="169"/>
      <c r="G80" s="169"/>
      <c r="H80" s="169"/>
      <c r="I80" s="169"/>
      <c r="J80" s="169"/>
      <c r="K80" s="169"/>
      <c r="L80" s="169"/>
      <c r="M80" s="169"/>
    </row>
    <row r="82" spans="1:13" ht="15.75">
      <c r="A82" s="168" t="s">
        <v>1503</v>
      </c>
      <c r="B82" s="167"/>
      <c r="C82" s="167"/>
      <c r="D82" s="167"/>
      <c r="E82" s="167"/>
      <c r="F82" s="167"/>
      <c r="G82" s="167"/>
      <c r="H82" s="167"/>
      <c r="I82" s="167"/>
      <c r="J82" s="167"/>
      <c r="K82" s="167"/>
      <c r="L82" s="167"/>
      <c r="M82" s="167"/>
    </row>
    <row r="83" spans="1:13">
      <c r="A83" s="167" t="s">
        <v>1501</v>
      </c>
      <c r="B83" s="167"/>
      <c r="C83" s="167"/>
      <c r="D83" s="167"/>
      <c r="E83" s="167"/>
      <c r="F83" s="167"/>
      <c r="G83" s="167"/>
      <c r="H83" s="167"/>
      <c r="I83" s="167"/>
      <c r="J83" s="167"/>
      <c r="K83" s="167"/>
      <c r="L83" s="167"/>
      <c r="M83" s="167"/>
    </row>
    <row r="84" spans="1:13">
      <c r="A84" s="167"/>
      <c r="B84" s="167"/>
      <c r="C84" s="167"/>
      <c r="D84" s="172" t="s">
        <v>1249</v>
      </c>
      <c r="E84" s="167"/>
      <c r="F84" s="167"/>
      <c r="G84" s="167"/>
      <c r="H84" s="167"/>
      <c r="I84" s="167"/>
      <c r="J84" s="167"/>
      <c r="K84" s="167"/>
      <c r="L84" s="167"/>
      <c r="M84" s="167"/>
    </row>
    <row r="85" spans="1:13" ht="15.75" thickBot="1">
      <c r="A85" s="167"/>
      <c r="B85" s="167"/>
      <c r="C85" s="167"/>
      <c r="D85" s="167"/>
      <c r="E85" s="167"/>
      <c r="F85" s="167"/>
      <c r="G85" s="167"/>
      <c r="H85" s="167"/>
      <c r="I85" s="167"/>
      <c r="J85" s="167"/>
      <c r="K85" s="167"/>
      <c r="L85" s="167"/>
      <c r="M85" s="167"/>
    </row>
    <row r="86" spans="1:13" ht="30" customHeight="1">
      <c r="A86" s="334"/>
      <c r="B86" s="327" t="s">
        <v>1500</v>
      </c>
      <c r="C86" s="330"/>
      <c r="D86" s="331"/>
      <c r="E86" s="327" t="s">
        <v>1499</v>
      </c>
      <c r="F86" s="330"/>
      <c r="G86" s="331"/>
      <c r="H86" s="327" t="s">
        <v>1498</v>
      </c>
      <c r="I86" s="330"/>
      <c r="J86" s="330"/>
      <c r="K86" s="327" t="s">
        <v>1497</v>
      </c>
      <c r="L86" s="330"/>
      <c r="M86" s="331"/>
    </row>
    <row r="87" spans="1:13">
      <c r="A87" s="335"/>
      <c r="B87" s="165" t="s">
        <v>233</v>
      </c>
      <c r="C87" s="164" t="s">
        <v>234</v>
      </c>
      <c r="D87" s="163" t="s">
        <v>235</v>
      </c>
      <c r="E87" s="165" t="s">
        <v>233</v>
      </c>
      <c r="F87" s="164" t="s">
        <v>234</v>
      </c>
      <c r="G87" s="163" t="s">
        <v>235</v>
      </c>
      <c r="H87" s="165" t="s">
        <v>233</v>
      </c>
      <c r="I87" s="164" t="s">
        <v>234</v>
      </c>
      <c r="J87" s="166" t="s">
        <v>235</v>
      </c>
      <c r="K87" s="165" t="s">
        <v>233</v>
      </c>
      <c r="L87" s="164" t="s">
        <v>234</v>
      </c>
      <c r="M87" s="163" t="s">
        <v>235</v>
      </c>
    </row>
    <row r="88" spans="1:13">
      <c r="A88" s="171" t="s">
        <v>93</v>
      </c>
      <c r="B88" s="160">
        <v>0</v>
      </c>
      <c r="C88" s="101">
        <v>4.611378388104255E-2</v>
      </c>
      <c r="D88" s="161">
        <v>0.95388621611895752</v>
      </c>
      <c r="E88" s="160">
        <v>0</v>
      </c>
      <c r="F88" s="101">
        <v>2.778530974329357E-2</v>
      </c>
      <c r="G88" s="161">
        <v>0.97221469025670648</v>
      </c>
      <c r="H88" s="160">
        <v>0</v>
      </c>
      <c r="I88" s="101">
        <v>3.0592714369468737E-2</v>
      </c>
      <c r="J88" s="159">
        <v>0.96940728563053125</v>
      </c>
      <c r="K88" s="158">
        <f t="shared" ref="K88:M92" si="10">AVERAGE(B88,E88,H88)</f>
        <v>0</v>
      </c>
      <c r="L88" s="157">
        <f t="shared" si="10"/>
        <v>3.4830602664601619E-2</v>
      </c>
      <c r="M88" s="156">
        <f t="shared" si="10"/>
        <v>0.96516939733539842</v>
      </c>
    </row>
    <row r="89" spans="1:13">
      <c r="A89" s="171" t="s">
        <v>95</v>
      </c>
      <c r="B89" s="160">
        <v>4.9670611327804127E-8</v>
      </c>
      <c r="C89" s="101">
        <v>5.6132718125062354E-2</v>
      </c>
      <c r="D89" s="161">
        <v>0.94386723220432622</v>
      </c>
      <c r="E89" s="160">
        <v>0</v>
      </c>
      <c r="F89" s="101">
        <v>5.8505059291178559E-2</v>
      </c>
      <c r="G89" s="161">
        <v>0.94149494070882145</v>
      </c>
      <c r="H89" s="160">
        <v>0</v>
      </c>
      <c r="I89" s="101">
        <v>6.1448109498151007E-2</v>
      </c>
      <c r="J89" s="159">
        <v>0.93855189050184895</v>
      </c>
      <c r="K89" s="158">
        <f t="shared" si="10"/>
        <v>1.6556870442601376E-8</v>
      </c>
      <c r="L89" s="157">
        <f t="shared" si="10"/>
        <v>5.869529563813064E-2</v>
      </c>
      <c r="M89" s="156">
        <f t="shared" si="10"/>
        <v>0.94130468780499887</v>
      </c>
    </row>
    <row r="90" spans="1:13">
      <c r="A90" s="171" t="s">
        <v>96</v>
      </c>
      <c r="B90" s="160">
        <v>0</v>
      </c>
      <c r="C90" s="101">
        <v>4.5411246629748128E-3</v>
      </c>
      <c r="D90" s="161">
        <v>0.99545887533702515</v>
      </c>
      <c r="E90" s="160">
        <v>0</v>
      </c>
      <c r="F90" s="101">
        <v>5.0994400878190647E-3</v>
      </c>
      <c r="G90" s="161">
        <v>0.99490055991218096</v>
      </c>
      <c r="H90" s="160">
        <v>0</v>
      </c>
      <c r="I90" s="101">
        <v>5.7499967497032355E-3</v>
      </c>
      <c r="J90" s="159">
        <v>0.99425000325029678</v>
      </c>
      <c r="K90" s="158">
        <f t="shared" si="10"/>
        <v>0</v>
      </c>
      <c r="L90" s="157">
        <f t="shared" si="10"/>
        <v>5.1301871668323713E-3</v>
      </c>
      <c r="M90" s="156">
        <f t="shared" si="10"/>
        <v>0.99486981283316778</v>
      </c>
    </row>
    <row r="91" spans="1:13">
      <c r="A91" s="171" t="s">
        <v>97</v>
      </c>
      <c r="B91" s="160">
        <v>0</v>
      </c>
      <c r="C91" s="101">
        <v>4.5411246629748128E-3</v>
      </c>
      <c r="D91" s="161">
        <v>0.99545887533702515</v>
      </c>
      <c r="E91" s="160">
        <v>0</v>
      </c>
      <c r="F91" s="101">
        <v>5.0994400878190647E-3</v>
      </c>
      <c r="G91" s="161">
        <v>0.99490055991218096</v>
      </c>
      <c r="H91" s="160">
        <v>0</v>
      </c>
      <c r="I91" s="101">
        <v>0</v>
      </c>
      <c r="J91" s="159">
        <v>1</v>
      </c>
      <c r="K91" s="158">
        <f t="shared" si="10"/>
        <v>0</v>
      </c>
      <c r="L91" s="157">
        <f t="shared" si="10"/>
        <v>3.213521583597959E-3</v>
      </c>
      <c r="M91" s="156">
        <f t="shared" si="10"/>
        <v>0.99678647841640211</v>
      </c>
    </row>
    <row r="92" spans="1:13" ht="15.75" thickBot="1">
      <c r="A92" s="170" t="s">
        <v>110</v>
      </c>
      <c r="B92" s="153">
        <v>0</v>
      </c>
      <c r="C92" s="152">
        <v>1.267695647986833E-2</v>
      </c>
      <c r="D92" s="154">
        <v>0.98732304352013167</v>
      </c>
      <c r="E92" s="153">
        <v>0</v>
      </c>
      <c r="F92" s="152">
        <v>0</v>
      </c>
      <c r="G92" s="154">
        <v>1</v>
      </c>
      <c r="H92" s="153">
        <v>0</v>
      </c>
      <c r="I92" s="152">
        <v>0</v>
      </c>
      <c r="J92" s="151">
        <v>1</v>
      </c>
      <c r="K92" s="150">
        <f t="shared" si="10"/>
        <v>0</v>
      </c>
      <c r="L92" s="149">
        <f t="shared" si="10"/>
        <v>4.2256521599561099E-3</v>
      </c>
      <c r="M92" s="148">
        <f t="shared" si="10"/>
        <v>0.99577434784004382</v>
      </c>
    </row>
    <row r="94" spans="1:13">
      <c r="A94" s="169"/>
      <c r="B94" s="169"/>
      <c r="C94" s="169"/>
      <c r="D94" s="169"/>
      <c r="E94" s="169"/>
    </row>
    <row r="96" spans="1:13" ht="15.75">
      <c r="A96" s="168" t="s">
        <v>237</v>
      </c>
      <c r="B96" s="167"/>
      <c r="C96" s="167"/>
      <c r="D96" s="167"/>
      <c r="E96" s="167"/>
      <c r="F96" s="167"/>
      <c r="G96" s="167"/>
      <c r="H96" s="167"/>
      <c r="I96" s="167"/>
      <c r="J96" s="167"/>
      <c r="K96" s="167"/>
      <c r="L96" s="167"/>
      <c r="M96" s="167"/>
    </row>
    <row r="97" spans="1:13">
      <c r="A97" s="167"/>
      <c r="B97" s="167"/>
      <c r="C97" s="167"/>
      <c r="D97" s="167"/>
      <c r="E97" s="167"/>
      <c r="F97" s="167"/>
      <c r="G97" s="167"/>
      <c r="H97" s="167"/>
      <c r="I97" s="167"/>
      <c r="J97" s="167"/>
      <c r="K97" s="167"/>
      <c r="L97" s="167"/>
      <c r="M97" s="167"/>
    </row>
    <row r="98" spans="1:13">
      <c r="A98" s="167"/>
      <c r="B98" s="167"/>
      <c r="C98" s="167"/>
      <c r="D98" s="167"/>
      <c r="E98" s="167"/>
      <c r="F98" s="167"/>
      <c r="G98" s="167"/>
      <c r="H98" s="167"/>
      <c r="I98" s="167"/>
      <c r="J98" s="167"/>
      <c r="K98" s="167"/>
      <c r="L98" s="167"/>
      <c r="M98" s="167"/>
    </row>
    <row r="99" spans="1:13" ht="15.75" thickBot="1">
      <c r="A99" s="167"/>
      <c r="B99" s="167"/>
      <c r="C99" s="167"/>
      <c r="D99" s="167"/>
      <c r="E99" s="167"/>
      <c r="F99" s="167"/>
      <c r="G99" s="167"/>
      <c r="H99" s="167"/>
      <c r="I99" s="167"/>
      <c r="J99" s="167"/>
      <c r="K99" s="167"/>
      <c r="L99" s="167"/>
      <c r="M99" s="167"/>
    </row>
    <row r="100" spans="1:13" ht="30" customHeight="1">
      <c r="A100" s="325"/>
      <c r="B100" s="327" t="s">
        <v>1500</v>
      </c>
      <c r="C100" s="328"/>
      <c r="D100" s="329"/>
      <c r="E100" s="327" t="s">
        <v>1499</v>
      </c>
      <c r="F100" s="330"/>
      <c r="G100" s="331"/>
      <c r="H100" s="327" t="s">
        <v>1498</v>
      </c>
      <c r="I100" s="330"/>
      <c r="J100" s="330"/>
      <c r="K100" s="327" t="s">
        <v>1497</v>
      </c>
      <c r="L100" s="330"/>
      <c r="M100" s="331"/>
    </row>
    <row r="101" spans="1:13">
      <c r="A101" s="326"/>
      <c r="B101" s="165" t="s">
        <v>238</v>
      </c>
      <c r="C101" s="164" t="s">
        <v>234</v>
      </c>
      <c r="D101" s="163" t="s">
        <v>235</v>
      </c>
      <c r="E101" s="165" t="s">
        <v>238</v>
      </c>
      <c r="F101" s="164" t="s">
        <v>234</v>
      </c>
      <c r="G101" s="163" t="s">
        <v>235</v>
      </c>
      <c r="H101" s="165" t="s">
        <v>238</v>
      </c>
      <c r="I101" s="164" t="s">
        <v>234</v>
      </c>
      <c r="J101" s="163" t="s">
        <v>235</v>
      </c>
      <c r="K101" s="165" t="s">
        <v>238</v>
      </c>
      <c r="L101" s="164" t="s">
        <v>234</v>
      </c>
      <c r="M101" s="163" t="s">
        <v>235</v>
      </c>
    </row>
    <row r="102" spans="1:13">
      <c r="A102" s="173" t="s">
        <v>131</v>
      </c>
      <c r="B102" s="160">
        <v>2.1974885844748857E-2</v>
      </c>
      <c r="C102" s="101">
        <v>0.48127853881278537</v>
      </c>
      <c r="D102" s="161">
        <v>0.49674657534246575</v>
      </c>
      <c r="E102" s="160">
        <v>2.2260273972602738E-2</v>
      </c>
      <c r="F102" s="101">
        <v>0.4800228310502283</v>
      </c>
      <c r="G102" s="161">
        <v>0.49771689497716892</v>
      </c>
      <c r="H102" s="160">
        <v>2.1974885844748857E-2</v>
      </c>
      <c r="I102" s="101">
        <v>0.48127853881278537</v>
      </c>
      <c r="J102" s="159">
        <v>0.49674657534246575</v>
      </c>
      <c r="K102" s="158">
        <f t="shared" ref="K102:K105" si="11">AVERAGE(B102,E102,H102)</f>
        <v>2.2070015220700151E-2</v>
      </c>
      <c r="L102" s="157">
        <f t="shared" ref="L102:L105" si="12">AVERAGE(C102,F102,I102)</f>
        <v>0.48085996955859972</v>
      </c>
      <c r="M102" s="156">
        <f t="shared" ref="M102:M105" si="13">AVERAGE(D102,G102,J102)</f>
        <v>0.49707001522070016</v>
      </c>
    </row>
    <row r="103" spans="1:13">
      <c r="A103" s="173" t="s">
        <v>132</v>
      </c>
      <c r="B103" s="160">
        <v>4.2805184862331952E-2</v>
      </c>
      <c r="C103" s="101">
        <v>0.19167410966980664</v>
      </c>
      <c r="D103" s="161">
        <v>0.76552070546786144</v>
      </c>
      <c r="E103" s="160">
        <v>4.3879000265150049E-2</v>
      </c>
      <c r="F103" s="101">
        <v>0.1940190270056035</v>
      </c>
      <c r="G103" s="161">
        <v>0.76210197272924651</v>
      </c>
      <c r="H103" s="160">
        <v>4.3205322343521084E-2</v>
      </c>
      <c r="I103" s="101">
        <v>0.19488823877486647</v>
      </c>
      <c r="J103" s="159">
        <v>0.76190643888161236</v>
      </c>
      <c r="K103" s="158">
        <f t="shared" si="11"/>
        <v>4.3296502490334364E-2</v>
      </c>
      <c r="L103" s="157">
        <f t="shared" si="12"/>
        <v>0.19352712515009221</v>
      </c>
      <c r="M103" s="156">
        <f t="shared" si="13"/>
        <v>0.76317637235957336</v>
      </c>
    </row>
    <row r="104" spans="1:13">
      <c r="A104" s="173" t="s">
        <v>133</v>
      </c>
      <c r="B104" s="160">
        <v>8.1868940354516848E-2</v>
      </c>
      <c r="C104" s="101">
        <v>0.38855769498833526</v>
      </c>
      <c r="D104" s="161">
        <v>0.52957336465714788</v>
      </c>
      <c r="E104" s="160">
        <v>7.2656884754361203E-2</v>
      </c>
      <c r="F104" s="101">
        <v>0.29535735733315055</v>
      </c>
      <c r="G104" s="161">
        <v>0.63198575791248823</v>
      </c>
      <c r="H104" s="160">
        <v>7.1497782912482211E-2</v>
      </c>
      <c r="I104" s="101">
        <v>0.29692163508989367</v>
      </c>
      <c r="J104" s="161">
        <v>0.63158058199762412</v>
      </c>
      <c r="K104" s="158">
        <f t="shared" si="11"/>
        <v>7.5341202673786759E-2</v>
      </c>
      <c r="L104" s="157">
        <f t="shared" si="12"/>
        <v>0.32694556247045986</v>
      </c>
      <c r="M104" s="156">
        <f t="shared" si="13"/>
        <v>0.59771323485575345</v>
      </c>
    </row>
    <row r="105" spans="1:13" ht="15.75" thickBot="1">
      <c r="A105" s="173" t="s">
        <v>134</v>
      </c>
      <c r="B105" s="153">
        <v>5.485018991072026E-3</v>
      </c>
      <c r="C105" s="152">
        <v>0.72938925781155295</v>
      </c>
      <c r="D105" s="154">
        <v>0.26512572319737515</v>
      </c>
      <c r="E105" s="153">
        <v>2.2693420410199844E-3</v>
      </c>
      <c r="F105" s="152">
        <v>0.74222696372275954</v>
      </c>
      <c r="G105" s="154">
        <v>0.25550369423622044</v>
      </c>
      <c r="H105" s="153">
        <v>2.3229279271022468E-3</v>
      </c>
      <c r="I105" s="152">
        <v>0.74389207788259781</v>
      </c>
      <c r="J105" s="151">
        <v>0.25378499419029993</v>
      </c>
      <c r="K105" s="150">
        <f t="shared" si="11"/>
        <v>3.3590963197314191E-3</v>
      </c>
      <c r="L105" s="149">
        <f t="shared" si="12"/>
        <v>0.7385027664723034</v>
      </c>
      <c r="M105" s="148">
        <f t="shared" si="13"/>
        <v>0.25813813720796519</v>
      </c>
    </row>
    <row r="107" spans="1:13">
      <c r="A107" s="169"/>
      <c r="B107" s="169"/>
      <c r="C107" s="169"/>
      <c r="D107" s="169"/>
      <c r="E107" s="169"/>
      <c r="F107" s="169"/>
      <c r="G107" s="169"/>
      <c r="H107" s="169"/>
      <c r="I107" s="169"/>
      <c r="J107" s="169"/>
      <c r="K107" s="169"/>
      <c r="L107" s="169"/>
      <c r="M107" s="169"/>
    </row>
    <row r="109" spans="1:13" ht="15.75">
      <c r="A109" s="168" t="s">
        <v>1502</v>
      </c>
      <c r="B109" s="167"/>
      <c r="C109" s="167"/>
      <c r="D109" s="167"/>
      <c r="E109" s="167"/>
      <c r="F109" s="167"/>
      <c r="G109" s="167"/>
      <c r="H109" s="167"/>
      <c r="I109" s="167"/>
      <c r="J109" s="167"/>
      <c r="K109" s="167"/>
      <c r="L109" s="167"/>
      <c r="M109" s="167"/>
    </row>
    <row r="110" spans="1:13">
      <c r="A110" s="167" t="s">
        <v>1501</v>
      </c>
      <c r="B110" s="167"/>
      <c r="C110" s="167"/>
      <c r="D110" s="167"/>
      <c r="E110" s="167"/>
      <c r="F110" s="167"/>
      <c r="G110" s="167"/>
      <c r="H110" s="167"/>
      <c r="I110" s="167"/>
      <c r="J110" s="167"/>
      <c r="K110" s="167"/>
      <c r="L110" s="167"/>
      <c r="M110" s="167"/>
    </row>
    <row r="111" spans="1:13">
      <c r="A111" s="167"/>
      <c r="B111" s="167"/>
      <c r="C111" s="167"/>
      <c r="D111" s="167"/>
      <c r="E111" s="167"/>
      <c r="F111" s="167"/>
      <c r="G111" s="167"/>
      <c r="H111" s="167"/>
      <c r="I111" s="167"/>
      <c r="J111" s="167"/>
      <c r="K111" s="167"/>
      <c r="L111" s="167"/>
      <c r="M111" s="167"/>
    </row>
    <row r="112" spans="1:13" ht="15.75" thickBot="1">
      <c r="A112" s="167"/>
      <c r="B112" s="167"/>
      <c r="C112" s="167"/>
      <c r="D112" s="167"/>
      <c r="E112" s="167"/>
      <c r="F112" s="167"/>
      <c r="G112" s="167"/>
      <c r="H112" s="167"/>
      <c r="I112" s="167"/>
      <c r="J112" s="167"/>
      <c r="K112" s="167"/>
      <c r="L112" s="167"/>
      <c r="M112" s="167"/>
    </row>
    <row r="113" spans="1:13" ht="30.75" customHeight="1">
      <c r="A113" s="332"/>
      <c r="B113" s="327" t="s">
        <v>1500</v>
      </c>
      <c r="C113" s="330"/>
      <c r="D113" s="331"/>
      <c r="E113" s="327" t="s">
        <v>1499</v>
      </c>
      <c r="F113" s="330"/>
      <c r="G113" s="331"/>
      <c r="H113" s="327" t="s">
        <v>1498</v>
      </c>
      <c r="I113" s="330"/>
      <c r="J113" s="330"/>
      <c r="K113" s="327" t="s">
        <v>1497</v>
      </c>
      <c r="L113" s="330"/>
      <c r="M113" s="331"/>
    </row>
    <row r="114" spans="1:13">
      <c r="A114" s="333"/>
      <c r="B114" s="165" t="s">
        <v>233</v>
      </c>
      <c r="C114" s="164" t="s">
        <v>234</v>
      </c>
      <c r="D114" s="163" t="s">
        <v>235</v>
      </c>
      <c r="E114" s="165" t="s">
        <v>233</v>
      </c>
      <c r="F114" s="164" t="s">
        <v>234</v>
      </c>
      <c r="G114" s="163" t="s">
        <v>235</v>
      </c>
      <c r="H114" s="165" t="s">
        <v>233</v>
      </c>
      <c r="I114" s="164" t="s">
        <v>234</v>
      </c>
      <c r="J114" s="166" t="s">
        <v>235</v>
      </c>
      <c r="K114" s="165" t="s">
        <v>233</v>
      </c>
      <c r="L114" s="164" t="s">
        <v>234</v>
      </c>
      <c r="M114" s="163" t="s">
        <v>235</v>
      </c>
    </row>
    <row r="115" spans="1:13">
      <c r="A115" s="162" t="s">
        <v>60</v>
      </c>
      <c r="B115" s="160">
        <v>0.70048974664440411</v>
      </c>
      <c r="C115" s="101">
        <v>0.29021068740224348</v>
      </c>
      <c r="D115" s="161">
        <v>9.2995659533523269E-3</v>
      </c>
      <c r="E115" s="160">
        <v>0.49247602329762419</v>
      </c>
      <c r="F115" s="101">
        <v>0.49767054571539238</v>
      </c>
      <c r="G115" s="161">
        <v>9.8534309869834583E-3</v>
      </c>
      <c r="H115" s="160">
        <v>0.69340781310640165</v>
      </c>
      <c r="I115" s="101">
        <v>0.30659218689359841</v>
      </c>
      <c r="J115" s="159">
        <v>0</v>
      </c>
      <c r="K115" s="158">
        <f t="shared" ref="K115:K123" si="14">AVERAGE(B115,E115,H115)</f>
        <v>0.62879119434947672</v>
      </c>
      <c r="L115" s="157">
        <f t="shared" ref="L115:L123" si="15">AVERAGE(C115,F115,I115)</f>
        <v>0.36482447333707807</v>
      </c>
      <c r="M115" s="156">
        <f t="shared" ref="M115:M123" si="16">AVERAGE(D115,G115,J115)</f>
        <v>6.3843323134452623E-3</v>
      </c>
    </row>
    <row r="116" spans="1:13">
      <c r="A116" s="162" t="s">
        <v>61</v>
      </c>
      <c r="B116" s="160">
        <v>0.58901493599560795</v>
      </c>
      <c r="C116" s="101">
        <v>0.33072538797066231</v>
      </c>
      <c r="D116" s="161">
        <v>8.0259676033729743E-2</v>
      </c>
      <c r="E116" s="160">
        <v>0.65385308549556731</v>
      </c>
      <c r="F116" s="101">
        <v>0.26431541857937146</v>
      </c>
      <c r="G116" s="161">
        <v>8.1831495925061185E-2</v>
      </c>
      <c r="H116" s="160">
        <v>0.6223797142015669</v>
      </c>
      <c r="I116" s="101">
        <v>0.31328564209284143</v>
      </c>
      <c r="J116" s="159">
        <v>6.4334643705591735E-2</v>
      </c>
      <c r="K116" s="158">
        <f t="shared" si="14"/>
        <v>0.62174924523091402</v>
      </c>
      <c r="L116" s="157">
        <f t="shared" si="15"/>
        <v>0.3027754828809584</v>
      </c>
      <c r="M116" s="156">
        <f t="shared" si="16"/>
        <v>7.547527188812754E-2</v>
      </c>
    </row>
    <row r="117" spans="1:13">
      <c r="A117" s="162" t="s">
        <v>62</v>
      </c>
      <c r="B117" s="160">
        <v>0.58901493599560795</v>
      </c>
      <c r="C117" s="101">
        <v>0.33072538797066231</v>
      </c>
      <c r="D117" s="161">
        <v>8.0259676033729743E-2</v>
      </c>
      <c r="E117" s="160">
        <v>0.65385308549556731</v>
      </c>
      <c r="F117" s="101">
        <v>0.26431541857937146</v>
      </c>
      <c r="G117" s="161">
        <v>8.1831495925061185E-2</v>
      </c>
      <c r="H117" s="160">
        <v>0.6223797142015669</v>
      </c>
      <c r="I117" s="101">
        <v>0.31328564209284143</v>
      </c>
      <c r="J117" s="159">
        <v>6.4334643705591735E-2</v>
      </c>
      <c r="K117" s="158">
        <f t="shared" si="14"/>
        <v>0.62174924523091402</v>
      </c>
      <c r="L117" s="157">
        <f t="shared" si="15"/>
        <v>0.3027754828809584</v>
      </c>
      <c r="M117" s="156">
        <f t="shared" si="16"/>
        <v>7.547527188812754E-2</v>
      </c>
    </row>
    <row r="118" spans="1:13">
      <c r="A118" s="162" t="s">
        <v>63</v>
      </c>
      <c r="B118" s="160">
        <v>0.61688243828411082</v>
      </c>
      <c r="C118" s="101">
        <v>0.30945664762786612</v>
      </c>
      <c r="D118" s="161">
        <v>7.3660914088023027E-2</v>
      </c>
      <c r="E118" s="160">
        <v>0.58671290710474588</v>
      </c>
      <c r="F118" s="101">
        <v>0.37127974470427544</v>
      </c>
      <c r="G118" s="161">
        <v>4.2007348190978698E-2</v>
      </c>
      <c r="H118" s="160">
        <v>0.51347494217435419</v>
      </c>
      <c r="I118" s="101">
        <v>0.43520116948413673</v>
      </c>
      <c r="J118" s="159">
        <v>5.1323888341509097E-2</v>
      </c>
      <c r="K118" s="158">
        <f t="shared" si="14"/>
        <v>0.57235676252107026</v>
      </c>
      <c r="L118" s="157">
        <f t="shared" si="15"/>
        <v>0.37197918727209278</v>
      </c>
      <c r="M118" s="156">
        <f t="shared" si="16"/>
        <v>5.5664050206836936E-2</v>
      </c>
    </row>
    <row r="119" spans="1:13">
      <c r="A119" s="162" t="s">
        <v>64</v>
      </c>
      <c r="B119" s="160">
        <v>0.61688243828411082</v>
      </c>
      <c r="C119" s="101">
        <v>0.30945664762786612</v>
      </c>
      <c r="D119" s="161">
        <v>7.3660914088023027E-2</v>
      </c>
      <c r="E119" s="160">
        <v>0.58671290710474588</v>
      </c>
      <c r="F119" s="101">
        <v>0.37127974470427544</v>
      </c>
      <c r="G119" s="161">
        <v>4.2007348190978698E-2</v>
      </c>
      <c r="H119" s="160">
        <v>0.51347494217435419</v>
      </c>
      <c r="I119" s="101">
        <v>0.43520116948413673</v>
      </c>
      <c r="J119" s="159">
        <v>5.1323888341509097E-2</v>
      </c>
      <c r="K119" s="158">
        <f t="shared" si="14"/>
        <v>0.57235676252107026</v>
      </c>
      <c r="L119" s="157">
        <f t="shared" si="15"/>
        <v>0.37197918727209278</v>
      </c>
      <c r="M119" s="156">
        <f t="shared" si="16"/>
        <v>5.5664050206836936E-2</v>
      </c>
    </row>
    <row r="120" spans="1:13">
      <c r="A120" s="162" t="s">
        <v>69</v>
      </c>
      <c r="B120" s="160">
        <v>0.58901493599560795</v>
      </c>
      <c r="C120" s="101">
        <v>0.33072538797066231</v>
      </c>
      <c r="D120" s="161">
        <v>8.0259676033729743E-2</v>
      </c>
      <c r="E120" s="160">
        <v>0.65385308549556731</v>
      </c>
      <c r="F120" s="101">
        <v>0.26431541857937146</v>
      </c>
      <c r="G120" s="161">
        <v>8.1831495925061185E-2</v>
      </c>
      <c r="H120" s="160">
        <v>0.6223797142015669</v>
      </c>
      <c r="I120" s="101">
        <v>0.31328564209284143</v>
      </c>
      <c r="J120" s="159">
        <v>6.4334643705591735E-2</v>
      </c>
      <c r="K120" s="158">
        <f t="shared" si="14"/>
        <v>0.62174924523091402</v>
      </c>
      <c r="L120" s="157">
        <f t="shared" si="15"/>
        <v>0.3027754828809584</v>
      </c>
      <c r="M120" s="156">
        <f t="shared" si="16"/>
        <v>7.547527188812754E-2</v>
      </c>
    </row>
    <row r="121" spans="1:13">
      <c r="A121" s="162" t="s">
        <v>65</v>
      </c>
      <c r="B121" s="160">
        <v>0.61688243828411082</v>
      </c>
      <c r="C121" s="101">
        <v>0.30945664762786612</v>
      </c>
      <c r="D121" s="161">
        <v>7.3660914088023027E-2</v>
      </c>
      <c r="E121" s="160">
        <v>0.58671290710474588</v>
      </c>
      <c r="F121" s="101">
        <v>0.37127974470427544</v>
      </c>
      <c r="G121" s="161">
        <v>4.2007348190978698E-2</v>
      </c>
      <c r="H121" s="160">
        <v>0.51347494217435419</v>
      </c>
      <c r="I121" s="101">
        <v>0.43520116948413673</v>
      </c>
      <c r="J121" s="159">
        <v>5.1323888341509097E-2</v>
      </c>
      <c r="K121" s="158">
        <f t="shared" si="14"/>
        <v>0.57235676252107026</v>
      </c>
      <c r="L121" s="157">
        <f t="shared" si="15"/>
        <v>0.37197918727209278</v>
      </c>
      <c r="M121" s="156">
        <f t="shared" si="16"/>
        <v>5.5664050206836936E-2</v>
      </c>
    </row>
    <row r="122" spans="1:13">
      <c r="A122" s="162" t="s">
        <v>66</v>
      </c>
      <c r="B122" s="160">
        <v>0.61688243828411082</v>
      </c>
      <c r="C122" s="101">
        <v>0.30945664762786612</v>
      </c>
      <c r="D122" s="161">
        <v>7.3660914088023027E-2</v>
      </c>
      <c r="E122" s="160">
        <v>0.58671290710474588</v>
      </c>
      <c r="F122" s="101">
        <v>0.37127974470427544</v>
      </c>
      <c r="G122" s="161">
        <v>4.2007348190978698E-2</v>
      </c>
      <c r="H122" s="160">
        <v>0.51347494217435419</v>
      </c>
      <c r="I122" s="101">
        <v>0.43520116948413673</v>
      </c>
      <c r="J122" s="159">
        <v>5.1323888341509097E-2</v>
      </c>
      <c r="K122" s="158">
        <f t="shared" si="14"/>
        <v>0.57235676252107026</v>
      </c>
      <c r="L122" s="157">
        <f t="shared" si="15"/>
        <v>0.37197918727209278</v>
      </c>
      <c r="M122" s="156">
        <f t="shared" si="16"/>
        <v>5.5664050206836936E-2</v>
      </c>
    </row>
    <row r="123" spans="1:13" ht="15.75" thickBot="1">
      <c r="A123" s="155" t="s">
        <v>67</v>
      </c>
      <c r="B123" s="153">
        <v>0.61688243828411082</v>
      </c>
      <c r="C123" s="152">
        <v>0.30945664762786612</v>
      </c>
      <c r="D123" s="154">
        <v>7.3660914088023027E-2</v>
      </c>
      <c r="E123" s="153">
        <v>0.58671290710474588</v>
      </c>
      <c r="F123" s="152">
        <v>0.37127974470427544</v>
      </c>
      <c r="G123" s="154">
        <v>4.2007348190978698E-2</v>
      </c>
      <c r="H123" s="153">
        <v>0.51347494217435419</v>
      </c>
      <c r="I123" s="152">
        <v>0.43520116948413673</v>
      </c>
      <c r="J123" s="151">
        <v>5.1323888341509097E-2</v>
      </c>
      <c r="K123" s="150">
        <f t="shared" si="14"/>
        <v>0.57235676252107026</v>
      </c>
      <c r="L123" s="149">
        <f t="shared" si="15"/>
        <v>0.37197918727209278</v>
      </c>
      <c r="M123" s="148">
        <f t="shared" si="16"/>
        <v>5.5664050206836936E-2</v>
      </c>
    </row>
  </sheetData>
  <mergeCells count="23">
    <mergeCell ref="H113:J113"/>
    <mergeCell ref="K113:M113"/>
    <mergeCell ref="B1:E1"/>
    <mergeCell ref="H68:J68"/>
    <mergeCell ref="K68:M68"/>
    <mergeCell ref="B86:D86"/>
    <mergeCell ref="H86:J86"/>
    <mergeCell ref="K86:M86"/>
    <mergeCell ref="B2:C2"/>
    <mergeCell ref="B4:C4"/>
    <mergeCell ref="H100:J100"/>
    <mergeCell ref="K100:M100"/>
    <mergeCell ref="A68:A69"/>
    <mergeCell ref="B68:D68"/>
    <mergeCell ref="E68:G68"/>
    <mergeCell ref="A113:A114"/>
    <mergeCell ref="B113:D113"/>
    <mergeCell ref="E113:G113"/>
    <mergeCell ref="A86:A87"/>
    <mergeCell ref="E86:G86"/>
    <mergeCell ref="A100:A101"/>
    <mergeCell ref="B100:D100"/>
    <mergeCell ref="E100:G100"/>
  </mergeCells>
  <dataValidations count="1">
    <dataValidation type="decimal" allowBlank="1" showInputMessage="1" showErrorMessage="1" error="The coincidence factor must be between 0% and 100%." sqref="B17:E17 B20:E20">
      <formula1>0</formula1>
      <formula2>1</formula2>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indexed="41"/>
  </sheetPr>
  <dimension ref="B3:AP37"/>
  <sheetViews>
    <sheetView showGridLines="0" workbookViewId="0">
      <selection activeCell="J29" sqref="J29"/>
    </sheetView>
  </sheetViews>
  <sheetFormatPr defaultColWidth="8.85546875" defaultRowHeight="12.75"/>
  <cols>
    <col min="1" max="1" width="3.140625" style="43" customWidth="1"/>
    <col min="2" max="2" width="37.140625" style="43" customWidth="1"/>
    <col min="3" max="42" width="10" style="43" customWidth="1"/>
    <col min="43" max="16384" width="8.85546875" style="43"/>
  </cols>
  <sheetData>
    <row r="3" spans="2:42" ht="15.75">
      <c r="B3" s="168" t="s">
        <v>91</v>
      </c>
    </row>
    <row r="4" spans="2:42" ht="16.5" thickBot="1">
      <c r="B4" s="168"/>
    </row>
    <row r="5" spans="2:42" ht="15.75">
      <c r="B5" s="168"/>
      <c r="C5" s="341" t="str">
        <f>'CDCM Forecast Data'!$E$11</f>
        <v>2015/16</v>
      </c>
      <c r="D5" s="342"/>
      <c r="E5" s="342"/>
      <c r="F5" s="342"/>
      <c r="G5" s="342"/>
      <c r="H5" s="342"/>
      <c r="I5" s="342"/>
      <c r="J5" s="343"/>
      <c r="K5" s="341" t="str">
        <f>'CDCM Forecast Data'!$F$11</f>
        <v>2016/17</v>
      </c>
      <c r="L5" s="342"/>
      <c r="M5" s="342"/>
      <c r="N5" s="342"/>
      <c r="O5" s="342"/>
      <c r="P5" s="342"/>
      <c r="Q5" s="342"/>
      <c r="R5" s="343"/>
      <c r="S5" s="341" t="str">
        <f>'CDCM Forecast Data'!$G$11</f>
        <v>2017/18</v>
      </c>
      <c r="T5" s="342"/>
      <c r="U5" s="342"/>
      <c r="V5" s="342"/>
      <c r="W5" s="342"/>
      <c r="X5" s="342"/>
      <c r="Y5" s="342"/>
      <c r="Z5" s="343"/>
      <c r="AA5" s="341" t="str">
        <f>'CDCM Forecast Data'!$H$11</f>
        <v>2018/19</v>
      </c>
      <c r="AB5" s="342"/>
      <c r="AC5" s="342"/>
      <c r="AD5" s="342"/>
      <c r="AE5" s="342"/>
      <c r="AF5" s="342"/>
      <c r="AG5" s="342"/>
      <c r="AH5" s="343"/>
      <c r="AI5" s="341" t="str">
        <f>'CDCM Forecast Data'!$I$11</f>
        <v>2019/20</v>
      </c>
      <c r="AJ5" s="342"/>
      <c r="AK5" s="342"/>
      <c r="AL5" s="342"/>
      <c r="AM5" s="342"/>
      <c r="AN5" s="342"/>
      <c r="AO5" s="342"/>
      <c r="AP5" s="343"/>
    </row>
    <row r="6" spans="2:42" ht="38.25">
      <c r="C6" s="236" t="s">
        <v>75</v>
      </c>
      <c r="D6" s="236" t="s">
        <v>76</v>
      </c>
      <c r="E6" s="236" t="s">
        <v>77</v>
      </c>
      <c r="F6" s="236" t="s">
        <v>78</v>
      </c>
      <c r="G6" s="236" t="s">
        <v>79</v>
      </c>
      <c r="H6" s="236" t="s">
        <v>80</v>
      </c>
      <c r="I6" s="236" t="s">
        <v>81</v>
      </c>
      <c r="J6" s="236" t="s">
        <v>82</v>
      </c>
      <c r="K6" s="236" t="s">
        <v>75</v>
      </c>
      <c r="L6" s="236" t="s">
        <v>76</v>
      </c>
      <c r="M6" s="236" t="s">
        <v>77</v>
      </c>
      <c r="N6" s="236" t="s">
        <v>78</v>
      </c>
      <c r="O6" s="236" t="s">
        <v>79</v>
      </c>
      <c r="P6" s="236" t="s">
        <v>80</v>
      </c>
      <c r="Q6" s="236" t="s">
        <v>81</v>
      </c>
      <c r="R6" s="236" t="s">
        <v>82</v>
      </c>
      <c r="S6" s="236" t="s">
        <v>75</v>
      </c>
      <c r="T6" s="236" t="s">
        <v>76</v>
      </c>
      <c r="U6" s="236" t="s">
        <v>77</v>
      </c>
      <c r="V6" s="236" t="s">
        <v>78</v>
      </c>
      <c r="W6" s="236" t="s">
        <v>79</v>
      </c>
      <c r="X6" s="236" t="s">
        <v>80</v>
      </c>
      <c r="Y6" s="236" t="s">
        <v>81</v>
      </c>
      <c r="Z6" s="236" t="s">
        <v>82</v>
      </c>
      <c r="AA6" s="236" t="s">
        <v>75</v>
      </c>
      <c r="AB6" s="236" t="s">
        <v>76</v>
      </c>
      <c r="AC6" s="236" t="s">
        <v>77</v>
      </c>
      <c r="AD6" s="236" t="s">
        <v>78</v>
      </c>
      <c r="AE6" s="236" t="s">
        <v>79</v>
      </c>
      <c r="AF6" s="236" t="s">
        <v>80</v>
      </c>
      <c r="AG6" s="236" t="s">
        <v>81</v>
      </c>
      <c r="AH6" s="236" t="s">
        <v>82</v>
      </c>
      <c r="AI6" s="236" t="s">
        <v>75</v>
      </c>
      <c r="AJ6" s="236" t="s">
        <v>76</v>
      </c>
      <c r="AK6" s="236" t="s">
        <v>77</v>
      </c>
      <c r="AL6" s="236" t="s">
        <v>78</v>
      </c>
      <c r="AM6" s="236" t="s">
        <v>79</v>
      </c>
      <c r="AN6" s="236" t="s">
        <v>80</v>
      </c>
      <c r="AO6" s="236" t="s">
        <v>81</v>
      </c>
      <c r="AP6" s="236" t="s">
        <v>82</v>
      </c>
    </row>
    <row r="7" spans="2:42" ht="15">
      <c r="B7" s="11" t="s">
        <v>92</v>
      </c>
      <c r="C7" s="278">
        <v>0.05</v>
      </c>
      <c r="D7" s="278">
        <v>0</v>
      </c>
      <c r="E7" s="278">
        <v>0</v>
      </c>
      <c r="F7" s="278">
        <v>0</v>
      </c>
      <c r="G7" s="278"/>
      <c r="H7" s="278"/>
      <c r="I7" s="278"/>
      <c r="J7" s="278"/>
      <c r="K7" s="279">
        <f t="shared" ref="K7:K22" si="0">C7</f>
        <v>0.05</v>
      </c>
      <c r="L7" s="279">
        <f t="shared" ref="L7:L22" si="1">D7</f>
        <v>0</v>
      </c>
      <c r="M7" s="279">
        <f t="shared" ref="M7:M22" si="2">E7</f>
        <v>0</v>
      </c>
      <c r="N7" s="279">
        <f t="shared" ref="N7:N22" si="3">F7</f>
        <v>0</v>
      </c>
      <c r="O7" s="279">
        <f t="shared" ref="O7:O22" si="4">G7</f>
        <v>0</v>
      </c>
      <c r="P7" s="279">
        <f t="shared" ref="P7:P22" si="5">H7</f>
        <v>0</v>
      </c>
      <c r="Q7" s="279">
        <f t="shared" ref="Q7:Q22" si="6">I7</f>
        <v>0</v>
      </c>
      <c r="R7" s="279">
        <f t="shared" ref="R7:R22" si="7">J7</f>
        <v>0</v>
      </c>
      <c r="S7" s="279">
        <f t="shared" ref="S7:S22" si="8">K7</f>
        <v>0.05</v>
      </c>
      <c r="T7" s="279">
        <f t="shared" ref="T7:T22" si="9">L7</f>
        <v>0</v>
      </c>
      <c r="U7" s="279">
        <f t="shared" ref="U7:U22" si="10">M7</f>
        <v>0</v>
      </c>
      <c r="V7" s="279">
        <f t="shared" ref="V7:V22" si="11">N7</f>
        <v>0</v>
      </c>
      <c r="W7" s="279">
        <f t="shared" ref="W7:W22" si="12">O7</f>
        <v>0</v>
      </c>
      <c r="X7" s="279">
        <f t="shared" ref="X7:X22" si="13">P7</f>
        <v>0</v>
      </c>
      <c r="Y7" s="279">
        <f t="shared" ref="Y7:Y22" si="14">Q7</f>
        <v>0</v>
      </c>
      <c r="Z7" s="279">
        <f t="shared" ref="Z7:Z22" si="15">R7</f>
        <v>0</v>
      </c>
      <c r="AA7" s="279">
        <f t="shared" ref="AA7:AA22" si="16">S7</f>
        <v>0.05</v>
      </c>
      <c r="AB7" s="279">
        <f t="shared" ref="AB7:AB22" si="17">T7</f>
        <v>0</v>
      </c>
      <c r="AC7" s="279">
        <f t="shared" ref="AC7:AC22" si="18">U7</f>
        <v>0</v>
      </c>
      <c r="AD7" s="279">
        <f t="shared" ref="AD7:AD22" si="19">V7</f>
        <v>0</v>
      </c>
      <c r="AE7" s="279">
        <f t="shared" ref="AE7:AE22" si="20">W7</f>
        <v>0</v>
      </c>
      <c r="AF7" s="279">
        <f t="shared" ref="AF7:AF22" si="21">X7</f>
        <v>0</v>
      </c>
      <c r="AG7" s="279">
        <f t="shared" ref="AG7:AG22" si="22">Y7</f>
        <v>0</v>
      </c>
      <c r="AH7" s="279">
        <f t="shared" ref="AH7:AH22" si="23">Z7</f>
        <v>0</v>
      </c>
      <c r="AI7" s="279">
        <f t="shared" ref="AI7:AI22" si="24">AA7</f>
        <v>0.05</v>
      </c>
      <c r="AJ7" s="279">
        <f t="shared" ref="AJ7:AJ22" si="25">AB7</f>
        <v>0</v>
      </c>
      <c r="AK7" s="279">
        <f t="shared" ref="AK7:AK22" si="26">AC7</f>
        <v>0</v>
      </c>
      <c r="AL7" s="279">
        <f t="shared" ref="AL7:AL22" si="27">AD7</f>
        <v>0</v>
      </c>
      <c r="AM7" s="279">
        <f t="shared" ref="AM7:AM22" si="28">AE7</f>
        <v>0</v>
      </c>
      <c r="AN7" s="279">
        <f t="shared" ref="AN7:AN22" si="29">AF7</f>
        <v>0</v>
      </c>
      <c r="AO7" s="279">
        <f t="shared" ref="AO7:AO22" si="30">AG7</f>
        <v>0</v>
      </c>
      <c r="AP7" s="279">
        <f t="shared" ref="AP7:AP22" si="31">AH7</f>
        <v>0</v>
      </c>
    </row>
    <row r="8" spans="2:42" ht="15">
      <c r="B8" s="11" t="s">
        <v>93</v>
      </c>
      <c r="C8" s="278">
        <v>0.05</v>
      </c>
      <c r="D8" s="278">
        <v>0</v>
      </c>
      <c r="E8" s="278">
        <v>0</v>
      </c>
      <c r="F8" s="278">
        <v>0</v>
      </c>
      <c r="G8" s="278"/>
      <c r="H8" s="278"/>
      <c r="I8" s="278"/>
      <c r="J8" s="278"/>
      <c r="K8" s="279">
        <f t="shared" si="0"/>
        <v>0.05</v>
      </c>
      <c r="L8" s="279">
        <f t="shared" si="1"/>
        <v>0</v>
      </c>
      <c r="M8" s="279">
        <f t="shared" si="2"/>
        <v>0</v>
      </c>
      <c r="N8" s="279">
        <f t="shared" si="3"/>
        <v>0</v>
      </c>
      <c r="O8" s="279">
        <f t="shared" si="4"/>
        <v>0</v>
      </c>
      <c r="P8" s="279">
        <f t="shared" si="5"/>
        <v>0</v>
      </c>
      <c r="Q8" s="279">
        <f t="shared" si="6"/>
        <v>0</v>
      </c>
      <c r="R8" s="279">
        <f t="shared" si="7"/>
        <v>0</v>
      </c>
      <c r="S8" s="279">
        <f t="shared" si="8"/>
        <v>0.05</v>
      </c>
      <c r="T8" s="279">
        <f t="shared" si="9"/>
        <v>0</v>
      </c>
      <c r="U8" s="279">
        <f t="shared" si="10"/>
        <v>0</v>
      </c>
      <c r="V8" s="279">
        <f t="shared" si="11"/>
        <v>0</v>
      </c>
      <c r="W8" s="279">
        <f t="shared" si="12"/>
        <v>0</v>
      </c>
      <c r="X8" s="279">
        <f t="shared" si="13"/>
        <v>0</v>
      </c>
      <c r="Y8" s="279">
        <f t="shared" si="14"/>
        <v>0</v>
      </c>
      <c r="Z8" s="279">
        <f t="shared" si="15"/>
        <v>0</v>
      </c>
      <c r="AA8" s="279">
        <f t="shared" si="16"/>
        <v>0.05</v>
      </c>
      <c r="AB8" s="279">
        <f t="shared" si="17"/>
        <v>0</v>
      </c>
      <c r="AC8" s="279">
        <f t="shared" si="18"/>
        <v>0</v>
      </c>
      <c r="AD8" s="279">
        <f t="shared" si="19"/>
        <v>0</v>
      </c>
      <c r="AE8" s="279">
        <f t="shared" si="20"/>
        <v>0</v>
      </c>
      <c r="AF8" s="279">
        <f t="shared" si="21"/>
        <v>0</v>
      </c>
      <c r="AG8" s="279">
        <f t="shared" si="22"/>
        <v>0</v>
      </c>
      <c r="AH8" s="279">
        <f t="shared" si="23"/>
        <v>0</v>
      </c>
      <c r="AI8" s="279">
        <f t="shared" si="24"/>
        <v>0.05</v>
      </c>
      <c r="AJ8" s="279">
        <f t="shared" si="25"/>
        <v>0</v>
      </c>
      <c r="AK8" s="279">
        <f t="shared" si="26"/>
        <v>0</v>
      </c>
      <c r="AL8" s="279">
        <f t="shared" si="27"/>
        <v>0</v>
      </c>
      <c r="AM8" s="279">
        <f t="shared" si="28"/>
        <v>0</v>
      </c>
      <c r="AN8" s="279">
        <f t="shared" si="29"/>
        <v>0</v>
      </c>
      <c r="AO8" s="279">
        <f t="shared" si="30"/>
        <v>0</v>
      </c>
      <c r="AP8" s="279">
        <f t="shared" si="31"/>
        <v>0</v>
      </c>
    </row>
    <row r="9" spans="2:42" ht="15">
      <c r="B9" s="11" t="s">
        <v>94</v>
      </c>
      <c r="C9" s="278">
        <v>0</v>
      </c>
      <c r="D9" s="278">
        <v>1</v>
      </c>
      <c r="E9" s="278">
        <v>0</v>
      </c>
      <c r="F9" s="278">
        <v>0</v>
      </c>
      <c r="G9" s="278"/>
      <c r="H9" s="278"/>
      <c r="I9" s="278"/>
      <c r="J9" s="278"/>
      <c r="K9" s="279">
        <f t="shared" si="0"/>
        <v>0</v>
      </c>
      <c r="L9" s="279">
        <f t="shared" si="1"/>
        <v>1</v>
      </c>
      <c r="M9" s="279">
        <f t="shared" si="2"/>
        <v>0</v>
      </c>
      <c r="N9" s="279">
        <f t="shared" si="3"/>
        <v>0</v>
      </c>
      <c r="O9" s="279">
        <f t="shared" si="4"/>
        <v>0</v>
      </c>
      <c r="P9" s="279">
        <f t="shared" si="5"/>
        <v>0</v>
      </c>
      <c r="Q9" s="279">
        <f t="shared" si="6"/>
        <v>0</v>
      </c>
      <c r="R9" s="279">
        <f t="shared" si="7"/>
        <v>0</v>
      </c>
      <c r="S9" s="279">
        <f t="shared" si="8"/>
        <v>0</v>
      </c>
      <c r="T9" s="279">
        <f t="shared" si="9"/>
        <v>1</v>
      </c>
      <c r="U9" s="279">
        <f t="shared" si="10"/>
        <v>0</v>
      </c>
      <c r="V9" s="279">
        <f t="shared" si="11"/>
        <v>0</v>
      </c>
      <c r="W9" s="279">
        <f t="shared" si="12"/>
        <v>0</v>
      </c>
      <c r="X9" s="279">
        <f t="shared" si="13"/>
        <v>0</v>
      </c>
      <c r="Y9" s="279">
        <f t="shared" si="14"/>
        <v>0</v>
      </c>
      <c r="Z9" s="279">
        <f t="shared" si="15"/>
        <v>0</v>
      </c>
      <c r="AA9" s="279">
        <f t="shared" si="16"/>
        <v>0</v>
      </c>
      <c r="AB9" s="279">
        <f t="shared" si="17"/>
        <v>1</v>
      </c>
      <c r="AC9" s="279">
        <f t="shared" si="18"/>
        <v>0</v>
      </c>
      <c r="AD9" s="279">
        <f t="shared" si="19"/>
        <v>0</v>
      </c>
      <c r="AE9" s="279">
        <f t="shared" si="20"/>
        <v>0</v>
      </c>
      <c r="AF9" s="279">
        <f t="shared" si="21"/>
        <v>0</v>
      </c>
      <c r="AG9" s="279">
        <f t="shared" si="22"/>
        <v>0</v>
      </c>
      <c r="AH9" s="279">
        <f t="shared" si="23"/>
        <v>0</v>
      </c>
      <c r="AI9" s="279">
        <f t="shared" si="24"/>
        <v>0</v>
      </c>
      <c r="AJ9" s="279">
        <f t="shared" si="25"/>
        <v>1</v>
      </c>
      <c r="AK9" s="279">
        <f t="shared" si="26"/>
        <v>0</v>
      </c>
      <c r="AL9" s="279">
        <f t="shared" si="27"/>
        <v>0</v>
      </c>
      <c r="AM9" s="279">
        <f t="shared" si="28"/>
        <v>0</v>
      </c>
      <c r="AN9" s="279">
        <f t="shared" si="29"/>
        <v>0</v>
      </c>
      <c r="AO9" s="279">
        <f t="shared" si="30"/>
        <v>0</v>
      </c>
      <c r="AP9" s="279">
        <f t="shared" si="31"/>
        <v>0</v>
      </c>
    </row>
    <row r="10" spans="2:42" ht="15">
      <c r="B10" s="11" t="s">
        <v>95</v>
      </c>
      <c r="C10" s="278">
        <v>0</v>
      </c>
      <c r="D10" s="278">
        <v>1</v>
      </c>
      <c r="E10" s="278">
        <v>0</v>
      </c>
      <c r="F10" s="278">
        <v>0</v>
      </c>
      <c r="G10" s="278"/>
      <c r="H10" s="278"/>
      <c r="I10" s="278"/>
      <c r="J10" s="278"/>
      <c r="K10" s="279">
        <f t="shared" si="0"/>
        <v>0</v>
      </c>
      <c r="L10" s="279">
        <f t="shared" si="1"/>
        <v>1</v>
      </c>
      <c r="M10" s="279">
        <f t="shared" si="2"/>
        <v>0</v>
      </c>
      <c r="N10" s="279">
        <f t="shared" si="3"/>
        <v>0</v>
      </c>
      <c r="O10" s="279">
        <f t="shared" si="4"/>
        <v>0</v>
      </c>
      <c r="P10" s="279">
        <f t="shared" si="5"/>
        <v>0</v>
      </c>
      <c r="Q10" s="279">
        <f t="shared" si="6"/>
        <v>0</v>
      </c>
      <c r="R10" s="279">
        <f t="shared" si="7"/>
        <v>0</v>
      </c>
      <c r="S10" s="279">
        <f t="shared" si="8"/>
        <v>0</v>
      </c>
      <c r="T10" s="279">
        <f t="shared" si="9"/>
        <v>1</v>
      </c>
      <c r="U10" s="279">
        <f t="shared" si="10"/>
        <v>0</v>
      </c>
      <c r="V10" s="279">
        <f t="shared" si="11"/>
        <v>0</v>
      </c>
      <c r="W10" s="279">
        <f t="shared" si="12"/>
        <v>0</v>
      </c>
      <c r="X10" s="279">
        <f t="shared" si="13"/>
        <v>0</v>
      </c>
      <c r="Y10" s="279">
        <f t="shared" si="14"/>
        <v>0</v>
      </c>
      <c r="Z10" s="279">
        <f t="shared" si="15"/>
        <v>0</v>
      </c>
      <c r="AA10" s="279">
        <f t="shared" si="16"/>
        <v>0</v>
      </c>
      <c r="AB10" s="279">
        <f t="shared" si="17"/>
        <v>1</v>
      </c>
      <c r="AC10" s="279">
        <f t="shared" si="18"/>
        <v>0</v>
      </c>
      <c r="AD10" s="279">
        <f t="shared" si="19"/>
        <v>0</v>
      </c>
      <c r="AE10" s="279">
        <f t="shared" si="20"/>
        <v>0</v>
      </c>
      <c r="AF10" s="279">
        <f t="shared" si="21"/>
        <v>0</v>
      </c>
      <c r="AG10" s="279">
        <f t="shared" si="22"/>
        <v>0</v>
      </c>
      <c r="AH10" s="279">
        <f t="shared" si="23"/>
        <v>0</v>
      </c>
      <c r="AI10" s="279">
        <f t="shared" si="24"/>
        <v>0</v>
      </c>
      <c r="AJ10" s="279">
        <f t="shared" si="25"/>
        <v>1</v>
      </c>
      <c r="AK10" s="279">
        <f t="shared" si="26"/>
        <v>0</v>
      </c>
      <c r="AL10" s="279">
        <f t="shared" si="27"/>
        <v>0</v>
      </c>
      <c r="AM10" s="279">
        <f t="shared" si="28"/>
        <v>0</v>
      </c>
      <c r="AN10" s="279">
        <f t="shared" si="29"/>
        <v>0</v>
      </c>
      <c r="AO10" s="279">
        <f t="shared" si="30"/>
        <v>0</v>
      </c>
      <c r="AP10" s="279">
        <f t="shared" si="31"/>
        <v>0</v>
      </c>
    </row>
    <row r="11" spans="2:42" ht="15">
      <c r="B11" s="11" t="s">
        <v>96</v>
      </c>
      <c r="C11" s="278">
        <v>0</v>
      </c>
      <c r="D11" s="278">
        <v>0</v>
      </c>
      <c r="E11" s="278">
        <v>1</v>
      </c>
      <c r="F11" s="278">
        <v>0</v>
      </c>
      <c r="G11" s="278"/>
      <c r="H11" s="278"/>
      <c r="I11" s="278"/>
      <c r="J11" s="278"/>
      <c r="K11" s="279">
        <f t="shared" ref="K11:K17" si="32">C11</f>
        <v>0</v>
      </c>
      <c r="L11" s="279">
        <f t="shared" ref="L11:L17" si="33">D11</f>
        <v>0</v>
      </c>
      <c r="M11" s="279">
        <f t="shared" ref="M11:M17" si="34">E11</f>
        <v>1</v>
      </c>
      <c r="N11" s="279">
        <f t="shared" ref="N11:N17" si="35">F11</f>
        <v>0</v>
      </c>
      <c r="O11" s="279">
        <f t="shared" ref="O11:O17" si="36">G11</f>
        <v>0</v>
      </c>
      <c r="P11" s="279">
        <f t="shared" ref="P11:P17" si="37">H11</f>
        <v>0</v>
      </c>
      <c r="Q11" s="279">
        <f t="shared" ref="Q11:Q17" si="38">I11</f>
        <v>0</v>
      </c>
      <c r="R11" s="279">
        <f t="shared" ref="R11:R17" si="39">J11</f>
        <v>0</v>
      </c>
      <c r="S11" s="279">
        <f t="shared" ref="S11:S17" si="40">K11</f>
        <v>0</v>
      </c>
      <c r="T11" s="279">
        <f t="shared" ref="T11:T17" si="41">L11</f>
        <v>0</v>
      </c>
      <c r="U11" s="279">
        <f t="shared" ref="U11:U17" si="42">M11</f>
        <v>1</v>
      </c>
      <c r="V11" s="279">
        <f t="shared" ref="V11:V17" si="43">N11</f>
        <v>0</v>
      </c>
      <c r="W11" s="279">
        <f t="shared" ref="W11:W17" si="44">O11</f>
        <v>0</v>
      </c>
      <c r="X11" s="279">
        <f t="shared" ref="X11:X17" si="45">P11</f>
        <v>0</v>
      </c>
      <c r="Y11" s="279">
        <f t="shared" ref="Y11:Y17" si="46">Q11</f>
        <v>0</v>
      </c>
      <c r="Z11" s="279">
        <f t="shared" ref="Z11:Z17" si="47">R11</f>
        <v>0</v>
      </c>
      <c r="AA11" s="279">
        <f t="shared" ref="AA11:AA17" si="48">S11</f>
        <v>0</v>
      </c>
      <c r="AB11" s="279">
        <f t="shared" ref="AB11:AB17" si="49">T11</f>
        <v>0</v>
      </c>
      <c r="AC11" s="279">
        <f t="shared" ref="AC11:AC17" si="50">U11</f>
        <v>1</v>
      </c>
      <c r="AD11" s="279">
        <f t="shared" ref="AD11:AD17" si="51">V11</f>
        <v>0</v>
      </c>
      <c r="AE11" s="279">
        <f t="shared" ref="AE11:AE17" si="52">W11</f>
        <v>0</v>
      </c>
      <c r="AF11" s="279">
        <f t="shared" ref="AF11:AF17" si="53">X11</f>
        <v>0</v>
      </c>
      <c r="AG11" s="279">
        <f t="shared" ref="AG11:AG17" si="54">Y11</f>
        <v>0</v>
      </c>
      <c r="AH11" s="279">
        <f t="shared" ref="AH11:AH17" si="55">Z11</f>
        <v>0</v>
      </c>
      <c r="AI11" s="279">
        <f t="shared" ref="AI11:AI17" si="56">AA11</f>
        <v>0</v>
      </c>
      <c r="AJ11" s="279">
        <f t="shared" ref="AJ11:AJ17" si="57">AB11</f>
        <v>0</v>
      </c>
      <c r="AK11" s="279">
        <f t="shared" ref="AK11:AK17" si="58">AC11</f>
        <v>1</v>
      </c>
      <c r="AL11" s="279">
        <f t="shared" ref="AL11:AL17" si="59">AD11</f>
        <v>0</v>
      </c>
      <c r="AM11" s="279">
        <f t="shared" ref="AM11:AM17" si="60">AE11</f>
        <v>0</v>
      </c>
      <c r="AN11" s="279">
        <f t="shared" ref="AN11:AN17" si="61">AF11</f>
        <v>0</v>
      </c>
      <c r="AO11" s="279">
        <f t="shared" ref="AO11:AO17" si="62">AG11</f>
        <v>0</v>
      </c>
      <c r="AP11" s="279">
        <f t="shared" ref="AP11:AP17" si="63">AH11</f>
        <v>0</v>
      </c>
    </row>
    <row r="12" spans="2:42" ht="15">
      <c r="B12" s="11" t="s">
        <v>97</v>
      </c>
      <c r="C12" s="278">
        <v>0</v>
      </c>
      <c r="D12" s="278">
        <v>0</v>
      </c>
      <c r="E12" s="278">
        <v>0</v>
      </c>
      <c r="F12" s="278">
        <v>1</v>
      </c>
      <c r="G12" s="278"/>
      <c r="H12" s="278"/>
      <c r="I12" s="278"/>
      <c r="J12" s="278"/>
      <c r="K12" s="279">
        <f t="shared" si="32"/>
        <v>0</v>
      </c>
      <c r="L12" s="279">
        <f t="shared" si="33"/>
        <v>0</v>
      </c>
      <c r="M12" s="279">
        <f t="shared" si="34"/>
        <v>0</v>
      </c>
      <c r="N12" s="279">
        <f t="shared" si="35"/>
        <v>1</v>
      </c>
      <c r="O12" s="279">
        <f t="shared" si="36"/>
        <v>0</v>
      </c>
      <c r="P12" s="279">
        <f t="shared" si="37"/>
        <v>0</v>
      </c>
      <c r="Q12" s="279">
        <f t="shared" si="38"/>
        <v>0</v>
      </c>
      <c r="R12" s="279">
        <f t="shared" si="39"/>
        <v>0</v>
      </c>
      <c r="S12" s="279">
        <f t="shared" si="40"/>
        <v>0</v>
      </c>
      <c r="T12" s="279">
        <f t="shared" si="41"/>
        <v>0</v>
      </c>
      <c r="U12" s="279">
        <f t="shared" si="42"/>
        <v>0</v>
      </c>
      <c r="V12" s="279">
        <f t="shared" si="43"/>
        <v>1</v>
      </c>
      <c r="W12" s="279">
        <f t="shared" si="44"/>
        <v>0</v>
      </c>
      <c r="X12" s="279">
        <f t="shared" si="45"/>
        <v>0</v>
      </c>
      <c r="Y12" s="279">
        <f t="shared" si="46"/>
        <v>0</v>
      </c>
      <c r="Z12" s="279">
        <f t="shared" si="47"/>
        <v>0</v>
      </c>
      <c r="AA12" s="279">
        <f t="shared" si="48"/>
        <v>0</v>
      </c>
      <c r="AB12" s="279">
        <f t="shared" si="49"/>
        <v>0</v>
      </c>
      <c r="AC12" s="279">
        <f t="shared" si="50"/>
        <v>0</v>
      </c>
      <c r="AD12" s="279">
        <f t="shared" si="51"/>
        <v>1</v>
      </c>
      <c r="AE12" s="279">
        <f t="shared" si="52"/>
        <v>0</v>
      </c>
      <c r="AF12" s="279">
        <f t="shared" si="53"/>
        <v>0</v>
      </c>
      <c r="AG12" s="279">
        <f t="shared" si="54"/>
        <v>0</v>
      </c>
      <c r="AH12" s="279">
        <f t="shared" si="55"/>
        <v>0</v>
      </c>
      <c r="AI12" s="279">
        <f t="shared" si="56"/>
        <v>0</v>
      </c>
      <c r="AJ12" s="279">
        <f t="shared" si="57"/>
        <v>0</v>
      </c>
      <c r="AK12" s="279">
        <f t="shared" si="58"/>
        <v>0</v>
      </c>
      <c r="AL12" s="279">
        <f t="shared" si="59"/>
        <v>1</v>
      </c>
      <c r="AM12" s="279">
        <f t="shared" si="60"/>
        <v>0</v>
      </c>
      <c r="AN12" s="279">
        <f t="shared" si="61"/>
        <v>0</v>
      </c>
      <c r="AO12" s="279">
        <f t="shared" si="62"/>
        <v>0</v>
      </c>
      <c r="AP12" s="279">
        <f t="shared" si="63"/>
        <v>0</v>
      </c>
    </row>
    <row r="13" spans="2:42" ht="15">
      <c r="B13" s="11" t="s">
        <v>1647</v>
      </c>
      <c r="C13" s="278">
        <v>0.05</v>
      </c>
      <c r="D13" s="278"/>
      <c r="E13" s="278"/>
      <c r="F13" s="278"/>
      <c r="G13" s="278"/>
      <c r="H13" s="278"/>
      <c r="I13" s="278"/>
      <c r="J13" s="278"/>
      <c r="K13" s="279">
        <f t="shared" si="32"/>
        <v>0.05</v>
      </c>
      <c r="L13" s="279">
        <f t="shared" si="33"/>
        <v>0</v>
      </c>
      <c r="M13" s="279">
        <f t="shared" si="34"/>
        <v>0</v>
      </c>
      <c r="N13" s="279">
        <f t="shared" si="35"/>
        <v>0</v>
      </c>
      <c r="O13" s="279">
        <f t="shared" si="36"/>
        <v>0</v>
      </c>
      <c r="P13" s="279">
        <f t="shared" si="37"/>
        <v>0</v>
      </c>
      <c r="Q13" s="279">
        <f t="shared" si="38"/>
        <v>0</v>
      </c>
      <c r="R13" s="279">
        <f t="shared" si="39"/>
        <v>0</v>
      </c>
      <c r="S13" s="279">
        <f t="shared" si="40"/>
        <v>0.05</v>
      </c>
      <c r="T13" s="279">
        <f t="shared" si="41"/>
        <v>0</v>
      </c>
      <c r="U13" s="279">
        <f t="shared" si="42"/>
        <v>0</v>
      </c>
      <c r="V13" s="279">
        <f t="shared" si="43"/>
        <v>0</v>
      </c>
      <c r="W13" s="279">
        <f t="shared" si="44"/>
        <v>0</v>
      </c>
      <c r="X13" s="279">
        <f t="shared" si="45"/>
        <v>0</v>
      </c>
      <c r="Y13" s="279">
        <f t="shared" si="46"/>
        <v>0</v>
      </c>
      <c r="Z13" s="279">
        <f t="shared" si="47"/>
        <v>0</v>
      </c>
      <c r="AA13" s="279">
        <f t="shared" si="48"/>
        <v>0.05</v>
      </c>
      <c r="AB13" s="279">
        <f t="shared" si="49"/>
        <v>0</v>
      </c>
      <c r="AC13" s="279">
        <f t="shared" si="50"/>
        <v>0</v>
      </c>
      <c r="AD13" s="279">
        <f t="shared" si="51"/>
        <v>0</v>
      </c>
      <c r="AE13" s="279">
        <f t="shared" si="52"/>
        <v>0</v>
      </c>
      <c r="AF13" s="279">
        <f t="shared" si="53"/>
        <v>0</v>
      </c>
      <c r="AG13" s="279">
        <f t="shared" si="54"/>
        <v>0</v>
      </c>
      <c r="AH13" s="279">
        <f t="shared" si="55"/>
        <v>0</v>
      </c>
      <c r="AI13" s="279">
        <f t="shared" si="56"/>
        <v>0.05</v>
      </c>
      <c r="AJ13" s="279">
        <f t="shared" si="57"/>
        <v>0</v>
      </c>
      <c r="AK13" s="279">
        <f t="shared" si="58"/>
        <v>0</v>
      </c>
      <c r="AL13" s="279">
        <f t="shared" si="59"/>
        <v>0</v>
      </c>
      <c r="AM13" s="279">
        <f t="shared" si="60"/>
        <v>0</v>
      </c>
      <c r="AN13" s="279">
        <f t="shared" si="61"/>
        <v>0</v>
      </c>
      <c r="AO13" s="279">
        <f t="shared" si="62"/>
        <v>0</v>
      </c>
      <c r="AP13" s="279">
        <f t="shared" si="63"/>
        <v>0</v>
      </c>
    </row>
    <row r="14" spans="2:42" ht="15">
      <c r="B14" s="11" t="s">
        <v>1646</v>
      </c>
      <c r="C14" s="278"/>
      <c r="D14" s="278">
        <v>1</v>
      </c>
      <c r="E14" s="278"/>
      <c r="F14" s="278"/>
      <c r="G14" s="278"/>
      <c r="H14" s="278"/>
      <c r="I14" s="278"/>
      <c r="J14" s="278"/>
      <c r="K14" s="279">
        <f t="shared" si="32"/>
        <v>0</v>
      </c>
      <c r="L14" s="279">
        <f t="shared" si="33"/>
        <v>1</v>
      </c>
      <c r="M14" s="279">
        <f t="shared" si="34"/>
        <v>0</v>
      </c>
      <c r="N14" s="279">
        <f t="shared" si="35"/>
        <v>0</v>
      </c>
      <c r="O14" s="279">
        <f t="shared" si="36"/>
        <v>0</v>
      </c>
      <c r="P14" s="279">
        <f t="shared" si="37"/>
        <v>0</v>
      </c>
      <c r="Q14" s="279">
        <f t="shared" si="38"/>
        <v>0</v>
      </c>
      <c r="R14" s="279">
        <f t="shared" si="39"/>
        <v>0</v>
      </c>
      <c r="S14" s="279">
        <f t="shared" si="40"/>
        <v>0</v>
      </c>
      <c r="T14" s="279">
        <f t="shared" si="41"/>
        <v>1</v>
      </c>
      <c r="U14" s="279">
        <f t="shared" si="42"/>
        <v>0</v>
      </c>
      <c r="V14" s="279">
        <f t="shared" si="43"/>
        <v>0</v>
      </c>
      <c r="W14" s="279">
        <f t="shared" si="44"/>
        <v>0</v>
      </c>
      <c r="X14" s="279">
        <f t="shared" si="45"/>
        <v>0</v>
      </c>
      <c r="Y14" s="279">
        <f t="shared" si="46"/>
        <v>0</v>
      </c>
      <c r="Z14" s="279">
        <f t="shared" si="47"/>
        <v>0</v>
      </c>
      <c r="AA14" s="279">
        <f t="shared" si="48"/>
        <v>0</v>
      </c>
      <c r="AB14" s="279">
        <f t="shared" si="49"/>
        <v>1</v>
      </c>
      <c r="AC14" s="279">
        <f t="shared" si="50"/>
        <v>0</v>
      </c>
      <c r="AD14" s="279">
        <f t="shared" si="51"/>
        <v>0</v>
      </c>
      <c r="AE14" s="279">
        <f t="shared" si="52"/>
        <v>0</v>
      </c>
      <c r="AF14" s="279">
        <f t="shared" si="53"/>
        <v>0</v>
      </c>
      <c r="AG14" s="279">
        <f t="shared" si="54"/>
        <v>0</v>
      </c>
      <c r="AH14" s="279">
        <f t="shared" si="55"/>
        <v>0</v>
      </c>
      <c r="AI14" s="279">
        <f t="shared" si="56"/>
        <v>0</v>
      </c>
      <c r="AJ14" s="279">
        <f t="shared" si="57"/>
        <v>1</v>
      </c>
      <c r="AK14" s="279">
        <f t="shared" si="58"/>
        <v>0</v>
      </c>
      <c r="AL14" s="279">
        <f t="shared" si="59"/>
        <v>0</v>
      </c>
      <c r="AM14" s="279">
        <f t="shared" si="60"/>
        <v>0</v>
      </c>
      <c r="AN14" s="279">
        <f t="shared" si="61"/>
        <v>0</v>
      </c>
      <c r="AO14" s="279">
        <f t="shared" si="62"/>
        <v>0</v>
      </c>
      <c r="AP14" s="279">
        <f t="shared" si="63"/>
        <v>0</v>
      </c>
    </row>
    <row r="15" spans="2:42" ht="15">
      <c r="B15" s="11" t="s">
        <v>98</v>
      </c>
      <c r="C15" s="278">
        <v>0</v>
      </c>
      <c r="D15" s="278">
        <v>0</v>
      </c>
      <c r="E15" s="278">
        <v>0</v>
      </c>
      <c r="F15" s="278">
        <v>0</v>
      </c>
      <c r="G15" s="278">
        <v>1</v>
      </c>
      <c r="H15" s="278">
        <v>0</v>
      </c>
      <c r="I15" s="278">
        <v>0</v>
      </c>
      <c r="J15" s="278">
        <v>0</v>
      </c>
      <c r="K15" s="279">
        <f t="shared" si="32"/>
        <v>0</v>
      </c>
      <c r="L15" s="279">
        <f t="shared" si="33"/>
        <v>0</v>
      </c>
      <c r="M15" s="279">
        <f t="shared" si="34"/>
        <v>0</v>
      </c>
      <c r="N15" s="279">
        <f t="shared" si="35"/>
        <v>0</v>
      </c>
      <c r="O15" s="279">
        <f t="shared" si="36"/>
        <v>1</v>
      </c>
      <c r="P15" s="279">
        <f t="shared" si="37"/>
        <v>0</v>
      </c>
      <c r="Q15" s="279">
        <f t="shared" si="38"/>
        <v>0</v>
      </c>
      <c r="R15" s="279">
        <f t="shared" si="39"/>
        <v>0</v>
      </c>
      <c r="S15" s="279">
        <f t="shared" si="40"/>
        <v>0</v>
      </c>
      <c r="T15" s="279">
        <f t="shared" si="41"/>
        <v>0</v>
      </c>
      <c r="U15" s="279">
        <f t="shared" si="42"/>
        <v>0</v>
      </c>
      <c r="V15" s="279">
        <f t="shared" si="43"/>
        <v>0</v>
      </c>
      <c r="W15" s="279">
        <f t="shared" si="44"/>
        <v>1</v>
      </c>
      <c r="X15" s="279">
        <f t="shared" si="45"/>
        <v>0</v>
      </c>
      <c r="Y15" s="279">
        <f t="shared" si="46"/>
        <v>0</v>
      </c>
      <c r="Z15" s="279">
        <f t="shared" si="47"/>
        <v>0</v>
      </c>
      <c r="AA15" s="279">
        <f t="shared" si="48"/>
        <v>0</v>
      </c>
      <c r="AB15" s="279">
        <f t="shared" si="49"/>
        <v>0</v>
      </c>
      <c r="AC15" s="279">
        <f t="shared" si="50"/>
        <v>0</v>
      </c>
      <c r="AD15" s="279">
        <f t="shared" si="51"/>
        <v>0</v>
      </c>
      <c r="AE15" s="279">
        <f t="shared" si="52"/>
        <v>1</v>
      </c>
      <c r="AF15" s="279">
        <f t="shared" si="53"/>
        <v>0</v>
      </c>
      <c r="AG15" s="279">
        <f t="shared" si="54"/>
        <v>0</v>
      </c>
      <c r="AH15" s="279">
        <f t="shared" si="55"/>
        <v>0</v>
      </c>
      <c r="AI15" s="279">
        <f t="shared" si="56"/>
        <v>0</v>
      </c>
      <c r="AJ15" s="279">
        <f t="shared" si="57"/>
        <v>0</v>
      </c>
      <c r="AK15" s="279">
        <f t="shared" si="58"/>
        <v>0</v>
      </c>
      <c r="AL15" s="279">
        <f t="shared" si="59"/>
        <v>0</v>
      </c>
      <c r="AM15" s="279">
        <f t="shared" si="60"/>
        <v>1</v>
      </c>
      <c r="AN15" s="279">
        <f t="shared" si="61"/>
        <v>0</v>
      </c>
      <c r="AO15" s="279">
        <f t="shared" si="62"/>
        <v>0</v>
      </c>
      <c r="AP15" s="279">
        <f t="shared" si="63"/>
        <v>0</v>
      </c>
    </row>
    <row r="16" spans="2:42" ht="15">
      <c r="B16" s="11" t="s">
        <v>99</v>
      </c>
      <c r="C16" s="278">
        <v>0</v>
      </c>
      <c r="D16" s="278">
        <v>0</v>
      </c>
      <c r="E16" s="278">
        <v>0</v>
      </c>
      <c r="F16" s="278">
        <v>0</v>
      </c>
      <c r="G16" s="278">
        <v>0</v>
      </c>
      <c r="H16" s="278">
        <v>1</v>
      </c>
      <c r="I16" s="278">
        <v>0</v>
      </c>
      <c r="J16" s="278">
        <v>0</v>
      </c>
      <c r="K16" s="279">
        <f t="shared" si="32"/>
        <v>0</v>
      </c>
      <c r="L16" s="279">
        <f t="shared" si="33"/>
        <v>0</v>
      </c>
      <c r="M16" s="279">
        <f t="shared" si="34"/>
        <v>0</v>
      </c>
      <c r="N16" s="279">
        <f t="shared" si="35"/>
        <v>0</v>
      </c>
      <c r="O16" s="279">
        <f t="shared" si="36"/>
        <v>0</v>
      </c>
      <c r="P16" s="279">
        <f t="shared" si="37"/>
        <v>1</v>
      </c>
      <c r="Q16" s="279">
        <f t="shared" si="38"/>
        <v>0</v>
      </c>
      <c r="R16" s="279">
        <f t="shared" si="39"/>
        <v>0</v>
      </c>
      <c r="S16" s="279">
        <f t="shared" si="40"/>
        <v>0</v>
      </c>
      <c r="T16" s="279">
        <f t="shared" si="41"/>
        <v>0</v>
      </c>
      <c r="U16" s="279">
        <f t="shared" si="42"/>
        <v>0</v>
      </c>
      <c r="V16" s="279">
        <f t="shared" si="43"/>
        <v>0</v>
      </c>
      <c r="W16" s="279">
        <f t="shared" si="44"/>
        <v>0</v>
      </c>
      <c r="X16" s="279">
        <f t="shared" si="45"/>
        <v>1</v>
      </c>
      <c r="Y16" s="279">
        <f t="shared" si="46"/>
        <v>0</v>
      </c>
      <c r="Z16" s="279">
        <f t="shared" si="47"/>
        <v>0</v>
      </c>
      <c r="AA16" s="279">
        <f t="shared" si="48"/>
        <v>0</v>
      </c>
      <c r="AB16" s="279">
        <f t="shared" si="49"/>
        <v>0</v>
      </c>
      <c r="AC16" s="279">
        <f t="shared" si="50"/>
        <v>0</v>
      </c>
      <c r="AD16" s="279">
        <f t="shared" si="51"/>
        <v>0</v>
      </c>
      <c r="AE16" s="279">
        <f t="shared" si="52"/>
        <v>0</v>
      </c>
      <c r="AF16" s="279">
        <f t="shared" si="53"/>
        <v>1</v>
      </c>
      <c r="AG16" s="279">
        <f t="shared" si="54"/>
        <v>0</v>
      </c>
      <c r="AH16" s="279">
        <f t="shared" si="55"/>
        <v>0</v>
      </c>
      <c r="AI16" s="279">
        <f t="shared" si="56"/>
        <v>0</v>
      </c>
      <c r="AJ16" s="279">
        <f t="shared" si="57"/>
        <v>0</v>
      </c>
      <c r="AK16" s="279">
        <f t="shared" si="58"/>
        <v>0</v>
      </c>
      <c r="AL16" s="279">
        <f t="shared" si="59"/>
        <v>0</v>
      </c>
      <c r="AM16" s="279">
        <f t="shared" si="60"/>
        <v>0</v>
      </c>
      <c r="AN16" s="279">
        <f t="shared" si="61"/>
        <v>1</v>
      </c>
      <c r="AO16" s="279">
        <f t="shared" si="62"/>
        <v>0</v>
      </c>
      <c r="AP16" s="279">
        <f t="shared" si="63"/>
        <v>0</v>
      </c>
    </row>
    <row r="17" spans="2:42" ht="15">
      <c r="B17" s="11" t="s">
        <v>1645</v>
      </c>
      <c r="C17" s="278">
        <v>0</v>
      </c>
      <c r="D17" s="278">
        <v>0</v>
      </c>
      <c r="E17" s="278">
        <v>0</v>
      </c>
      <c r="F17" s="278">
        <v>0</v>
      </c>
      <c r="G17" s="278">
        <v>0</v>
      </c>
      <c r="H17" s="278">
        <v>0</v>
      </c>
      <c r="I17" s="278">
        <v>1</v>
      </c>
      <c r="J17" s="278">
        <v>0</v>
      </c>
      <c r="K17" s="279">
        <f t="shared" si="32"/>
        <v>0</v>
      </c>
      <c r="L17" s="279">
        <f t="shared" si="33"/>
        <v>0</v>
      </c>
      <c r="M17" s="279">
        <f t="shared" si="34"/>
        <v>0</v>
      </c>
      <c r="N17" s="279">
        <f t="shared" si="35"/>
        <v>0</v>
      </c>
      <c r="O17" s="279">
        <f t="shared" si="36"/>
        <v>0</v>
      </c>
      <c r="P17" s="279">
        <f t="shared" si="37"/>
        <v>0</v>
      </c>
      <c r="Q17" s="279">
        <f t="shared" si="38"/>
        <v>1</v>
      </c>
      <c r="R17" s="279">
        <f t="shared" si="39"/>
        <v>0</v>
      </c>
      <c r="S17" s="279">
        <f t="shared" si="40"/>
        <v>0</v>
      </c>
      <c r="T17" s="279">
        <f t="shared" si="41"/>
        <v>0</v>
      </c>
      <c r="U17" s="279">
        <f t="shared" si="42"/>
        <v>0</v>
      </c>
      <c r="V17" s="279">
        <f t="shared" si="43"/>
        <v>0</v>
      </c>
      <c r="W17" s="279">
        <f t="shared" si="44"/>
        <v>0</v>
      </c>
      <c r="X17" s="279">
        <f t="shared" si="45"/>
        <v>0</v>
      </c>
      <c r="Y17" s="279">
        <f t="shared" si="46"/>
        <v>1</v>
      </c>
      <c r="Z17" s="279">
        <f t="shared" si="47"/>
        <v>0</v>
      </c>
      <c r="AA17" s="279">
        <f t="shared" si="48"/>
        <v>0</v>
      </c>
      <c r="AB17" s="279">
        <f t="shared" si="49"/>
        <v>0</v>
      </c>
      <c r="AC17" s="279">
        <f t="shared" si="50"/>
        <v>0</v>
      </c>
      <c r="AD17" s="279">
        <f t="shared" si="51"/>
        <v>0</v>
      </c>
      <c r="AE17" s="279">
        <f t="shared" si="52"/>
        <v>0</v>
      </c>
      <c r="AF17" s="279">
        <f t="shared" si="53"/>
        <v>0</v>
      </c>
      <c r="AG17" s="279">
        <f t="shared" si="54"/>
        <v>1</v>
      </c>
      <c r="AH17" s="279">
        <f t="shared" si="55"/>
        <v>0</v>
      </c>
      <c r="AI17" s="279">
        <f t="shared" si="56"/>
        <v>0</v>
      </c>
      <c r="AJ17" s="279">
        <f t="shared" si="57"/>
        <v>0</v>
      </c>
      <c r="AK17" s="279">
        <f t="shared" si="58"/>
        <v>0</v>
      </c>
      <c r="AL17" s="279">
        <f t="shared" si="59"/>
        <v>0</v>
      </c>
      <c r="AM17" s="279">
        <f t="shared" si="60"/>
        <v>0</v>
      </c>
      <c r="AN17" s="279">
        <f t="shared" si="61"/>
        <v>0</v>
      </c>
      <c r="AO17" s="279">
        <f t="shared" si="62"/>
        <v>1</v>
      </c>
      <c r="AP17" s="279">
        <f t="shared" si="63"/>
        <v>0</v>
      </c>
    </row>
    <row r="18" spans="2:42" ht="15">
      <c r="B18" s="11" t="s">
        <v>100</v>
      </c>
      <c r="C18" s="278">
        <v>0</v>
      </c>
      <c r="D18" s="278">
        <v>0</v>
      </c>
      <c r="E18" s="278">
        <v>0</v>
      </c>
      <c r="F18" s="278">
        <v>0</v>
      </c>
      <c r="G18" s="278">
        <v>0</v>
      </c>
      <c r="H18" s="278">
        <v>0</v>
      </c>
      <c r="I18" s="278">
        <v>1</v>
      </c>
      <c r="J18" s="278">
        <v>0</v>
      </c>
      <c r="K18" s="279">
        <f t="shared" si="0"/>
        <v>0</v>
      </c>
      <c r="L18" s="279">
        <f t="shared" si="1"/>
        <v>0</v>
      </c>
      <c r="M18" s="279">
        <f t="shared" si="2"/>
        <v>0</v>
      </c>
      <c r="N18" s="279">
        <f t="shared" si="3"/>
        <v>0</v>
      </c>
      <c r="O18" s="279">
        <f t="shared" si="4"/>
        <v>0</v>
      </c>
      <c r="P18" s="279">
        <f t="shared" si="5"/>
        <v>0</v>
      </c>
      <c r="Q18" s="279">
        <f t="shared" si="6"/>
        <v>1</v>
      </c>
      <c r="R18" s="279">
        <f t="shared" si="7"/>
        <v>0</v>
      </c>
      <c r="S18" s="279">
        <f t="shared" si="8"/>
        <v>0</v>
      </c>
      <c r="T18" s="279">
        <f t="shared" si="9"/>
        <v>0</v>
      </c>
      <c r="U18" s="279">
        <f t="shared" si="10"/>
        <v>0</v>
      </c>
      <c r="V18" s="279">
        <f t="shared" si="11"/>
        <v>0</v>
      </c>
      <c r="W18" s="279">
        <f t="shared" si="12"/>
        <v>0</v>
      </c>
      <c r="X18" s="279">
        <f t="shared" si="13"/>
        <v>0</v>
      </c>
      <c r="Y18" s="279">
        <f t="shared" si="14"/>
        <v>1</v>
      </c>
      <c r="Z18" s="279">
        <f t="shared" si="15"/>
        <v>0</v>
      </c>
      <c r="AA18" s="279">
        <f t="shared" si="16"/>
        <v>0</v>
      </c>
      <c r="AB18" s="279">
        <f t="shared" si="17"/>
        <v>0</v>
      </c>
      <c r="AC18" s="279">
        <f t="shared" si="18"/>
        <v>0</v>
      </c>
      <c r="AD18" s="279">
        <f t="shared" si="19"/>
        <v>0</v>
      </c>
      <c r="AE18" s="279">
        <f t="shared" si="20"/>
        <v>0</v>
      </c>
      <c r="AF18" s="279">
        <f t="shared" si="21"/>
        <v>0</v>
      </c>
      <c r="AG18" s="279">
        <f t="shared" si="22"/>
        <v>1</v>
      </c>
      <c r="AH18" s="279">
        <f t="shared" si="23"/>
        <v>0</v>
      </c>
      <c r="AI18" s="279">
        <f t="shared" si="24"/>
        <v>0</v>
      </c>
      <c r="AJ18" s="279">
        <f t="shared" si="25"/>
        <v>0</v>
      </c>
      <c r="AK18" s="279">
        <f t="shared" si="26"/>
        <v>0</v>
      </c>
      <c r="AL18" s="279">
        <f t="shared" si="27"/>
        <v>0</v>
      </c>
      <c r="AM18" s="279">
        <f t="shared" si="28"/>
        <v>0</v>
      </c>
      <c r="AN18" s="279">
        <f t="shared" si="29"/>
        <v>0</v>
      </c>
      <c r="AO18" s="279">
        <f t="shared" si="30"/>
        <v>1</v>
      </c>
      <c r="AP18" s="279">
        <f t="shared" si="31"/>
        <v>0</v>
      </c>
    </row>
    <row r="19" spans="2:42" ht="15">
      <c r="B19" s="11" t="s">
        <v>101</v>
      </c>
      <c r="C19" s="278">
        <v>0</v>
      </c>
      <c r="D19" s="278">
        <v>0</v>
      </c>
      <c r="E19" s="278">
        <v>0</v>
      </c>
      <c r="F19" s="278">
        <v>0</v>
      </c>
      <c r="G19" s="278">
        <v>0</v>
      </c>
      <c r="H19" s="278">
        <v>0</v>
      </c>
      <c r="I19" s="278">
        <v>1</v>
      </c>
      <c r="J19" s="278">
        <v>0</v>
      </c>
      <c r="K19" s="279">
        <f t="shared" si="0"/>
        <v>0</v>
      </c>
      <c r="L19" s="279">
        <f t="shared" si="1"/>
        <v>0</v>
      </c>
      <c r="M19" s="279">
        <f t="shared" si="2"/>
        <v>0</v>
      </c>
      <c r="N19" s="279">
        <f t="shared" si="3"/>
        <v>0</v>
      </c>
      <c r="O19" s="279">
        <f t="shared" si="4"/>
        <v>0</v>
      </c>
      <c r="P19" s="279">
        <f t="shared" si="5"/>
        <v>0</v>
      </c>
      <c r="Q19" s="279">
        <f t="shared" si="6"/>
        <v>1</v>
      </c>
      <c r="R19" s="279">
        <f t="shared" si="7"/>
        <v>0</v>
      </c>
      <c r="S19" s="279">
        <f t="shared" si="8"/>
        <v>0</v>
      </c>
      <c r="T19" s="279">
        <f t="shared" si="9"/>
        <v>0</v>
      </c>
      <c r="U19" s="279">
        <f t="shared" si="10"/>
        <v>0</v>
      </c>
      <c r="V19" s="279">
        <f t="shared" si="11"/>
        <v>0</v>
      </c>
      <c r="W19" s="279">
        <f t="shared" si="12"/>
        <v>0</v>
      </c>
      <c r="X19" s="279">
        <f t="shared" si="13"/>
        <v>0</v>
      </c>
      <c r="Y19" s="279">
        <f t="shared" si="14"/>
        <v>1</v>
      </c>
      <c r="Z19" s="279">
        <f t="shared" si="15"/>
        <v>0</v>
      </c>
      <c r="AA19" s="279">
        <f t="shared" si="16"/>
        <v>0</v>
      </c>
      <c r="AB19" s="279">
        <f t="shared" si="17"/>
        <v>0</v>
      </c>
      <c r="AC19" s="279">
        <f t="shared" si="18"/>
        <v>0</v>
      </c>
      <c r="AD19" s="279">
        <f t="shared" si="19"/>
        <v>0</v>
      </c>
      <c r="AE19" s="279">
        <f t="shared" si="20"/>
        <v>0</v>
      </c>
      <c r="AF19" s="279">
        <f t="shared" si="21"/>
        <v>0</v>
      </c>
      <c r="AG19" s="279">
        <f t="shared" si="22"/>
        <v>1</v>
      </c>
      <c r="AH19" s="279">
        <f t="shared" si="23"/>
        <v>0</v>
      </c>
      <c r="AI19" s="279">
        <f t="shared" si="24"/>
        <v>0</v>
      </c>
      <c r="AJ19" s="279">
        <f t="shared" si="25"/>
        <v>0</v>
      </c>
      <c r="AK19" s="279">
        <f t="shared" si="26"/>
        <v>0</v>
      </c>
      <c r="AL19" s="279">
        <f t="shared" si="27"/>
        <v>0</v>
      </c>
      <c r="AM19" s="279">
        <f t="shared" si="28"/>
        <v>0</v>
      </c>
      <c r="AN19" s="279">
        <f t="shared" si="29"/>
        <v>0</v>
      </c>
      <c r="AO19" s="279">
        <f t="shared" si="30"/>
        <v>1</v>
      </c>
      <c r="AP19" s="279">
        <f t="shared" si="31"/>
        <v>0</v>
      </c>
    </row>
    <row r="20" spans="2:42" ht="15">
      <c r="B20" s="11" t="s">
        <v>102</v>
      </c>
      <c r="C20" s="278">
        <v>0</v>
      </c>
      <c r="D20" s="278">
        <v>0</v>
      </c>
      <c r="E20" s="278">
        <v>0</v>
      </c>
      <c r="F20" s="278">
        <v>0</v>
      </c>
      <c r="G20" s="278">
        <v>0</v>
      </c>
      <c r="H20" s="278">
        <v>0</v>
      </c>
      <c r="I20" s="278">
        <v>0</v>
      </c>
      <c r="J20" s="278">
        <v>0</v>
      </c>
      <c r="K20" s="279">
        <f t="shared" si="0"/>
        <v>0</v>
      </c>
      <c r="L20" s="279">
        <f t="shared" si="1"/>
        <v>0</v>
      </c>
      <c r="M20" s="279">
        <f t="shared" si="2"/>
        <v>0</v>
      </c>
      <c r="N20" s="279">
        <f t="shared" si="3"/>
        <v>0</v>
      </c>
      <c r="O20" s="279">
        <f t="shared" si="4"/>
        <v>0</v>
      </c>
      <c r="P20" s="279">
        <f t="shared" si="5"/>
        <v>0</v>
      </c>
      <c r="Q20" s="279">
        <f t="shared" si="6"/>
        <v>0</v>
      </c>
      <c r="R20" s="279">
        <f t="shared" si="7"/>
        <v>0</v>
      </c>
      <c r="S20" s="279">
        <f t="shared" si="8"/>
        <v>0</v>
      </c>
      <c r="T20" s="279">
        <f t="shared" si="9"/>
        <v>0</v>
      </c>
      <c r="U20" s="279">
        <f t="shared" si="10"/>
        <v>0</v>
      </c>
      <c r="V20" s="279">
        <f t="shared" si="11"/>
        <v>0</v>
      </c>
      <c r="W20" s="279">
        <f t="shared" si="12"/>
        <v>0</v>
      </c>
      <c r="X20" s="279">
        <f t="shared" si="13"/>
        <v>0</v>
      </c>
      <c r="Y20" s="279">
        <f t="shared" si="14"/>
        <v>0</v>
      </c>
      <c r="Z20" s="279">
        <f t="shared" si="15"/>
        <v>0</v>
      </c>
      <c r="AA20" s="279">
        <f t="shared" si="16"/>
        <v>0</v>
      </c>
      <c r="AB20" s="279">
        <f t="shared" si="17"/>
        <v>0</v>
      </c>
      <c r="AC20" s="279">
        <f t="shared" si="18"/>
        <v>0</v>
      </c>
      <c r="AD20" s="279">
        <f t="shared" si="19"/>
        <v>0</v>
      </c>
      <c r="AE20" s="279">
        <f t="shared" si="20"/>
        <v>0</v>
      </c>
      <c r="AF20" s="279">
        <f t="shared" si="21"/>
        <v>0</v>
      </c>
      <c r="AG20" s="279">
        <f t="shared" si="22"/>
        <v>0</v>
      </c>
      <c r="AH20" s="279">
        <f t="shared" si="23"/>
        <v>0</v>
      </c>
      <c r="AI20" s="279">
        <f t="shared" si="24"/>
        <v>0</v>
      </c>
      <c r="AJ20" s="279">
        <f t="shared" si="25"/>
        <v>0</v>
      </c>
      <c r="AK20" s="279">
        <f t="shared" si="26"/>
        <v>0</v>
      </c>
      <c r="AL20" s="279">
        <f t="shared" si="27"/>
        <v>0</v>
      </c>
      <c r="AM20" s="279">
        <f t="shared" si="28"/>
        <v>0</v>
      </c>
      <c r="AN20" s="279">
        <f t="shared" si="29"/>
        <v>0</v>
      </c>
      <c r="AO20" s="279">
        <f t="shared" si="30"/>
        <v>0</v>
      </c>
      <c r="AP20" s="279">
        <f t="shared" si="31"/>
        <v>0</v>
      </c>
    </row>
    <row r="21" spans="2:42" ht="15">
      <c r="B21" s="11" t="s">
        <v>103</v>
      </c>
      <c r="C21" s="278">
        <v>0</v>
      </c>
      <c r="D21" s="278">
        <v>0</v>
      </c>
      <c r="E21" s="278">
        <v>0</v>
      </c>
      <c r="F21" s="278">
        <v>0</v>
      </c>
      <c r="G21" s="278">
        <v>0</v>
      </c>
      <c r="H21" s="278">
        <v>0</v>
      </c>
      <c r="I21" s="278">
        <v>0</v>
      </c>
      <c r="J21" s="278">
        <v>0</v>
      </c>
      <c r="K21" s="279">
        <f t="shared" si="0"/>
        <v>0</v>
      </c>
      <c r="L21" s="279">
        <f t="shared" si="1"/>
        <v>0</v>
      </c>
      <c r="M21" s="279">
        <f t="shared" si="2"/>
        <v>0</v>
      </c>
      <c r="N21" s="279">
        <f t="shared" si="3"/>
        <v>0</v>
      </c>
      <c r="O21" s="279">
        <f t="shared" si="4"/>
        <v>0</v>
      </c>
      <c r="P21" s="279">
        <f t="shared" si="5"/>
        <v>0</v>
      </c>
      <c r="Q21" s="279">
        <f t="shared" si="6"/>
        <v>0</v>
      </c>
      <c r="R21" s="279">
        <f t="shared" si="7"/>
        <v>0</v>
      </c>
      <c r="S21" s="279">
        <f t="shared" si="8"/>
        <v>0</v>
      </c>
      <c r="T21" s="279">
        <f t="shared" si="9"/>
        <v>0</v>
      </c>
      <c r="U21" s="279">
        <f t="shared" si="10"/>
        <v>0</v>
      </c>
      <c r="V21" s="279">
        <f t="shared" si="11"/>
        <v>0</v>
      </c>
      <c r="W21" s="279">
        <f t="shared" si="12"/>
        <v>0</v>
      </c>
      <c r="X21" s="279">
        <f t="shared" si="13"/>
        <v>0</v>
      </c>
      <c r="Y21" s="279">
        <f t="shared" si="14"/>
        <v>0</v>
      </c>
      <c r="Z21" s="279">
        <f t="shared" si="15"/>
        <v>0</v>
      </c>
      <c r="AA21" s="279">
        <f t="shared" si="16"/>
        <v>0</v>
      </c>
      <c r="AB21" s="279">
        <f t="shared" si="17"/>
        <v>0</v>
      </c>
      <c r="AC21" s="279">
        <f t="shared" si="18"/>
        <v>0</v>
      </c>
      <c r="AD21" s="279">
        <f t="shared" si="19"/>
        <v>0</v>
      </c>
      <c r="AE21" s="279">
        <f t="shared" si="20"/>
        <v>0</v>
      </c>
      <c r="AF21" s="279">
        <f t="shared" si="21"/>
        <v>0</v>
      </c>
      <c r="AG21" s="279">
        <f t="shared" si="22"/>
        <v>0</v>
      </c>
      <c r="AH21" s="279">
        <f t="shared" si="23"/>
        <v>0</v>
      </c>
      <c r="AI21" s="279">
        <f t="shared" si="24"/>
        <v>0</v>
      </c>
      <c r="AJ21" s="279">
        <f t="shared" si="25"/>
        <v>0</v>
      </c>
      <c r="AK21" s="279">
        <f t="shared" si="26"/>
        <v>0</v>
      </c>
      <c r="AL21" s="279">
        <f t="shared" si="27"/>
        <v>0</v>
      </c>
      <c r="AM21" s="279">
        <f t="shared" si="28"/>
        <v>0</v>
      </c>
      <c r="AN21" s="279">
        <f t="shared" si="29"/>
        <v>0</v>
      </c>
      <c r="AO21" s="279">
        <f t="shared" si="30"/>
        <v>0</v>
      </c>
      <c r="AP21" s="279">
        <f t="shared" si="31"/>
        <v>0</v>
      </c>
    </row>
    <row r="22" spans="2:42" ht="15">
      <c r="B22" s="11" t="s">
        <v>104</v>
      </c>
      <c r="C22" s="278">
        <v>0</v>
      </c>
      <c r="D22" s="278">
        <v>0</v>
      </c>
      <c r="E22" s="278">
        <v>0</v>
      </c>
      <c r="F22" s="278">
        <v>0</v>
      </c>
      <c r="G22" s="278">
        <v>0</v>
      </c>
      <c r="H22" s="278">
        <v>0</v>
      </c>
      <c r="I22" s="278">
        <v>0</v>
      </c>
      <c r="J22" s="278">
        <v>0</v>
      </c>
      <c r="K22" s="279">
        <f t="shared" si="0"/>
        <v>0</v>
      </c>
      <c r="L22" s="279">
        <f t="shared" si="1"/>
        <v>0</v>
      </c>
      <c r="M22" s="279">
        <f t="shared" si="2"/>
        <v>0</v>
      </c>
      <c r="N22" s="279">
        <f t="shared" si="3"/>
        <v>0</v>
      </c>
      <c r="O22" s="279">
        <f t="shared" si="4"/>
        <v>0</v>
      </c>
      <c r="P22" s="279">
        <f t="shared" si="5"/>
        <v>0</v>
      </c>
      <c r="Q22" s="279">
        <f t="shared" si="6"/>
        <v>0</v>
      </c>
      <c r="R22" s="279">
        <f t="shared" si="7"/>
        <v>0</v>
      </c>
      <c r="S22" s="279">
        <f t="shared" si="8"/>
        <v>0</v>
      </c>
      <c r="T22" s="279">
        <f t="shared" si="9"/>
        <v>0</v>
      </c>
      <c r="U22" s="279">
        <f t="shared" si="10"/>
        <v>0</v>
      </c>
      <c r="V22" s="279">
        <f t="shared" si="11"/>
        <v>0</v>
      </c>
      <c r="W22" s="279">
        <f t="shared" si="12"/>
        <v>0</v>
      </c>
      <c r="X22" s="279">
        <f t="shared" si="13"/>
        <v>0</v>
      </c>
      <c r="Y22" s="279">
        <f t="shared" si="14"/>
        <v>0</v>
      </c>
      <c r="Z22" s="279">
        <f t="shared" si="15"/>
        <v>0</v>
      </c>
      <c r="AA22" s="279">
        <f t="shared" si="16"/>
        <v>0</v>
      </c>
      <c r="AB22" s="279">
        <f t="shared" si="17"/>
        <v>0</v>
      </c>
      <c r="AC22" s="279">
        <f t="shared" si="18"/>
        <v>0</v>
      </c>
      <c r="AD22" s="279">
        <f t="shared" si="19"/>
        <v>0</v>
      </c>
      <c r="AE22" s="279">
        <f t="shared" si="20"/>
        <v>0</v>
      </c>
      <c r="AF22" s="279">
        <f t="shared" si="21"/>
        <v>0</v>
      </c>
      <c r="AG22" s="279">
        <f t="shared" si="22"/>
        <v>0</v>
      </c>
      <c r="AH22" s="279">
        <f t="shared" si="23"/>
        <v>0</v>
      </c>
      <c r="AI22" s="279">
        <f t="shared" si="24"/>
        <v>0</v>
      </c>
      <c r="AJ22" s="279">
        <f t="shared" si="25"/>
        <v>0</v>
      </c>
      <c r="AK22" s="279">
        <f t="shared" si="26"/>
        <v>0</v>
      </c>
      <c r="AL22" s="279">
        <f t="shared" si="27"/>
        <v>0</v>
      </c>
      <c r="AM22" s="279">
        <f t="shared" si="28"/>
        <v>0</v>
      </c>
      <c r="AN22" s="279">
        <f t="shared" si="29"/>
        <v>0</v>
      </c>
      <c r="AO22" s="279">
        <f t="shared" si="30"/>
        <v>0</v>
      </c>
      <c r="AP22" s="279">
        <f t="shared" si="31"/>
        <v>0</v>
      </c>
    </row>
    <row r="24" spans="2:42" ht="15.75">
      <c r="B24" s="168" t="s">
        <v>105</v>
      </c>
    </row>
    <row r="25" spans="2:42" ht="14.25">
      <c r="B25" s="194"/>
    </row>
    <row r="26" spans="2:42" ht="13.5" thickBot="1">
      <c r="B26" s="43" t="s">
        <v>106</v>
      </c>
    </row>
    <row r="27" spans="2:42">
      <c r="B27" s="43" t="s">
        <v>107</v>
      </c>
      <c r="C27" s="341" t="str">
        <f>'CDCM Forecast Data'!$E$11</f>
        <v>2015/16</v>
      </c>
      <c r="D27" s="342"/>
      <c r="E27" s="342"/>
      <c r="F27" s="342"/>
      <c r="G27" s="342"/>
      <c r="H27" s="342"/>
      <c r="I27" s="342"/>
      <c r="J27" s="343"/>
      <c r="K27" s="341" t="str">
        <f>'CDCM Forecast Data'!$F$11</f>
        <v>2016/17</v>
      </c>
      <c r="L27" s="342"/>
      <c r="M27" s="342"/>
      <c r="N27" s="342"/>
      <c r="O27" s="342"/>
      <c r="P27" s="342"/>
      <c r="Q27" s="342"/>
      <c r="R27" s="343"/>
      <c r="S27" s="341" t="str">
        <f>'CDCM Forecast Data'!$G$11</f>
        <v>2017/18</v>
      </c>
      <c r="T27" s="342"/>
      <c r="U27" s="342"/>
      <c r="V27" s="342"/>
      <c r="W27" s="342"/>
      <c r="X27" s="342"/>
      <c r="Y27" s="342"/>
      <c r="Z27" s="343"/>
      <c r="AA27" s="341" t="str">
        <f>'CDCM Forecast Data'!$H$11</f>
        <v>2018/19</v>
      </c>
      <c r="AB27" s="342"/>
      <c r="AC27" s="342"/>
      <c r="AD27" s="342"/>
      <c r="AE27" s="342"/>
      <c r="AF27" s="342"/>
      <c r="AG27" s="342"/>
      <c r="AH27" s="343"/>
      <c r="AI27" s="341" t="str">
        <f>'CDCM Forecast Data'!$I$11</f>
        <v>2019/20</v>
      </c>
      <c r="AJ27" s="342"/>
      <c r="AK27" s="342"/>
      <c r="AL27" s="342"/>
      <c r="AM27" s="342"/>
      <c r="AN27" s="342"/>
      <c r="AO27" s="342"/>
      <c r="AP27" s="343"/>
    </row>
    <row r="28" spans="2:42" ht="38.25">
      <c r="C28" s="193" t="s">
        <v>75</v>
      </c>
      <c r="D28" s="192" t="s">
        <v>76</v>
      </c>
      <c r="E28" s="192" t="s">
        <v>77</v>
      </c>
      <c r="F28" s="192" t="s">
        <v>78</v>
      </c>
      <c r="G28" s="192" t="s">
        <v>79</v>
      </c>
      <c r="H28" s="192" t="s">
        <v>80</v>
      </c>
      <c r="I28" s="192" t="s">
        <v>81</v>
      </c>
      <c r="J28" s="191" t="s">
        <v>82</v>
      </c>
      <c r="K28" s="193" t="s">
        <v>75</v>
      </c>
      <c r="L28" s="192" t="s">
        <v>76</v>
      </c>
      <c r="M28" s="192" t="s">
        <v>77</v>
      </c>
      <c r="N28" s="192" t="s">
        <v>78</v>
      </c>
      <c r="O28" s="192" t="s">
        <v>79</v>
      </c>
      <c r="P28" s="192" t="s">
        <v>80</v>
      </c>
      <c r="Q28" s="192" t="s">
        <v>81</v>
      </c>
      <c r="R28" s="191" t="s">
        <v>82</v>
      </c>
      <c r="S28" s="193" t="s">
        <v>75</v>
      </c>
      <c r="T28" s="192" t="s">
        <v>76</v>
      </c>
      <c r="U28" s="192" t="s">
        <v>77</v>
      </c>
      <c r="V28" s="192" t="s">
        <v>78</v>
      </c>
      <c r="W28" s="192" t="s">
        <v>79</v>
      </c>
      <c r="X28" s="192" t="s">
        <v>80</v>
      </c>
      <c r="Y28" s="192" t="s">
        <v>81</v>
      </c>
      <c r="Z28" s="191" t="s">
        <v>82</v>
      </c>
      <c r="AA28" s="193" t="s">
        <v>75</v>
      </c>
      <c r="AB28" s="192" t="s">
        <v>76</v>
      </c>
      <c r="AC28" s="192" t="s">
        <v>77</v>
      </c>
      <c r="AD28" s="192" t="s">
        <v>78</v>
      </c>
      <c r="AE28" s="192" t="s">
        <v>79</v>
      </c>
      <c r="AF28" s="192" t="s">
        <v>80</v>
      </c>
      <c r="AG28" s="192" t="s">
        <v>81</v>
      </c>
      <c r="AH28" s="191" t="s">
        <v>82</v>
      </c>
      <c r="AI28" s="193" t="s">
        <v>75</v>
      </c>
      <c r="AJ28" s="192" t="s">
        <v>76</v>
      </c>
      <c r="AK28" s="192" t="s">
        <v>77</v>
      </c>
      <c r="AL28" s="192" t="s">
        <v>78</v>
      </c>
      <c r="AM28" s="192" t="s">
        <v>79</v>
      </c>
      <c r="AN28" s="192" t="s">
        <v>80</v>
      </c>
      <c r="AO28" s="192" t="s">
        <v>81</v>
      </c>
      <c r="AP28" s="191" t="s">
        <v>82</v>
      </c>
    </row>
    <row r="29" spans="2:42" ht="15">
      <c r="B29" s="190" t="s">
        <v>108</v>
      </c>
      <c r="C29" s="280"/>
      <c r="D29" s="280"/>
      <c r="E29" s="280"/>
      <c r="F29" s="280"/>
      <c r="G29" s="280"/>
      <c r="H29" s="280"/>
      <c r="I29" s="280"/>
      <c r="J29" s="280">
        <v>0.48759999999999998</v>
      </c>
      <c r="K29" s="281">
        <f t="shared" ref="K29:R29" si="64">C29</f>
        <v>0</v>
      </c>
      <c r="L29" s="281">
        <f t="shared" si="64"/>
        <v>0</v>
      </c>
      <c r="M29" s="281">
        <f t="shared" si="64"/>
        <v>0</v>
      </c>
      <c r="N29" s="281">
        <f t="shared" si="64"/>
        <v>0</v>
      </c>
      <c r="O29" s="281">
        <f t="shared" si="64"/>
        <v>0</v>
      </c>
      <c r="P29" s="281">
        <f t="shared" si="64"/>
        <v>0</v>
      </c>
      <c r="Q29" s="281">
        <f t="shared" si="64"/>
        <v>0</v>
      </c>
      <c r="R29" s="281">
        <f t="shared" si="64"/>
        <v>0.48759999999999998</v>
      </c>
      <c r="S29" s="281">
        <f t="shared" ref="S29" si="65">K29</f>
        <v>0</v>
      </c>
      <c r="T29" s="281">
        <f t="shared" ref="T29" si="66">L29</f>
        <v>0</v>
      </c>
      <c r="U29" s="281">
        <f t="shared" ref="U29" si="67">M29</f>
        <v>0</v>
      </c>
      <c r="V29" s="281">
        <f t="shared" ref="V29" si="68">N29</f>
        <v>0</v>
      </c>
      <c r="W29" s="281">
        <f t="shared" ref="W29" si="69">O29</f>
        <v>0</v>
      </c>
      <c r="X29" s="281">
        <f t="shared" ref="X29" si="70">P29</f>
        <v>0</v>
      </c>
      <c r="Y29" s="281">
        <f t="shared" ref="Y29" si="71">Q29</f>
        <v>0</v>
      </c>
      <c r="Z29" s="281">
        <f t="shared" ref="Z29" si="72">R29</f>
        <v>0.48759999999999998</v>
      </c>
      <c r="AA29" s="281">
        <f t="shared" ref="AA29" si="73">S29</f>
        <v>0</v>
      </c>
      <c r="AB29" s="281">
        <f t="shared" ref="AB29" si="74">T29</f>
        <v>0</v>
      </c>
      <c r="AC29" s="281">
        <f t="shared" ref="AC29" si="75">U29</f>
        <v>0</v>
      </c>
      <c r="AD29" s="281">
        <f t="shared" ref="AD29" si="76">V29</f>
        <v>0</v>
      </c>
      <c r="AE29" s="281">
        <f t="shared" ref="AE29" si="77">W29</f>
        <v>0</v>
      </c>
      <c r="AF29" s="281">
        <f t="shared" ref="AF29" si="78">X29</f>
        <v>0</v>
      </c>
      <c r="AG29" s="281">
        <f t="shared" ref="AG29" si="79">Y29</f>
        <v>0</v>
      </c>
      <c r="AH29" s="281">
        <f t="shared" ref="AH29" si="80">Z29</f>
        <v>0.48759999999999998</v>
      </c>
      <c r="AI29" s="281">
        <f t="shared" ref="AI29" si="81">AA29</f>
        <v>0</v>
      </c>
      <c r="AJ29" s="281">
        <f t="shared" ref="AJ29" si="82">AB29</f>
        <v>0</v>
      </c>
      <c r="AK29" s="281">
        <f t="shared" ref="AK29" si="83">AC29</f>
        <v>0</v>
      </c>
      <c r="AL29" s="281">
        <f t="shared" ref="AL29" si="84">AD29</f>
        <v>0</v>
      </c>
      <c r="AM29" s="281">
        <f t="shared" ref="AM29" si="85">AE29</f>
        <v>0</v>
      </c>
      <c r="AN29" s="281">
        <f t="shared" ref="AN29" si="86">AF29</f>
        <v>0</v>
      </c>
      <c r="AO29" s="281">
        <f t="shared" ref="AO29" si="87">AG29</f>
        <v>0</v>
      </c>
      <c r="AP29" s="281">
        <f t="shared" ref="AP29" si="88">AH29</f>
        <v>0.48759999999999998</v>
      </c>
    </row>
    <row r="31" spans="2:42" ht="16.5" thickBot="1">
      <c r="B31" s="168" t="s">
        <v>109</v>
      </c>
    </row>
    <row r="32" spans="2:42" ht="15.75">
      <c r="B32" s="168"/>
      <c r="C32" s="344" t="str">
        <f>'CDCM Forecast Data'!$E$11</f>
        <v>2015/16</v>
      </c>
      <c r="D32" s="345"/>
      <c r="E32" s="345"/>
      <c r="F32" s="345"/>
      <c r="G32" s="346"/>
      <c r="H32" s="344" t="str">
        <f>+'CDCM Forecast Data'!F11</f>
        <v>2016/17</v>
      </c>
      <c r="I32" s="345"/>
      <c r="J32" s="345"/>
      <c r="K32" s="345"/>
      <c r="L32" s="346"/>
      <c r="M32" s="344" t="str">
        <f>+'CDCM Forecast Data'!G11</f>
        <v>2017/18</v>
      </c>
      <c r="N32" s="345"/>
      <c r="O32" s="345"/>
      <c r="P32" s="345"/>
      <c r="Q32" s="346"/>
      <c r="R32" s="344" t="str">
        <f>+'CDCM Forecast Data'!H11</f>
        <v>2018/19</v>
      </c>
      <c r="S32" s="345"/>
      <c r="T32" s="345"/>
      <c r="U32" s="345"/>
      <c r="V32" s="346"/>
      <c r="W32" s="344" t="str">
        <f>+'CDCM Forecast Data'!I11</f>
        <v>2019/20</v>
      </c>
      <c r="X32" s="345"/>
      <c r="Y32" s="345"/>
      <c r="Z32" s="345"/>
      <c r="AA32" s="346"/>
    </row>
    <row r="33" spans="2:27" ht="42" customHeight="1">
      <c r="C33" s="193" t="s">
        <v>85</v>
      </c>
      <c r="D33" s="192" t="s">
        <v>86</v>
      </c>
      <c r="E33" s="192" t="s">
        <v>87</v>
      </c>
      <c r="F33" s="192" t="s">
        <v>88</v>
      </c>
      <c r="G33" s="191" t="s">
        <v>89</v>
      </c>
      <c r="H33" s="193" t="s">
        <v>85</v>
      </c>
      <c r="I33" s="192" t="s">
        <v>86</v>
      </c>
      <c r="J33" s="192" t="s">
        <v>87</v>
      </c>
      <c r="K33" s="192" t="s">
        <v>88</v>
      </c>
      <c r="L33" s="191" t="s">
        <v>89</v>
      </c>
      <c r="M33" s="193" t="s">
        <v>85</v>
      </c>
      <c r="N33" s="192" t="s">
        <v>86</v>
      </c>
      <c r="O33" s="192" t="s">
        <v>87</v>
      </c>
      <c r="P33" s="192" t="s">
        <v>88</v>
      </c>
      <c r="Q33" s="191" t="s">
        <v>89</v>
      </c>
      <c r="R33" s="193" t="s">
        <v>85</v>
      </c>
      <c r="S33" s="192" t="s">
        <v>86</v>
      </c>
      <c r="T33" s="192" t="s">
        <v>87</v>
      </c>
      <c r="U33" s="192" t="s">
        <v>88</v>
      </c>
      <c r="V33" s="191" t="s">
        <v>89</v>
      </c>
      <c r="W33" s="193" t="s">
        <v>85</v>
      </c>
      <c r="X33" s="192" t="s">
        <v>86</v>
      </c>
      <c r="Y33" s="192" t="s">
        <v>87</v>
      </c>
      <c r="Z33" s="192" t="s">
        <v>88</v>
      </c>
      <c r="AA33" s="191" t="s">
        <v>89</v>
      </c>
    </row>
    <row r="34" spans="2:27">
      <c r="B34" s="190" t="s">
        <v>110</v>
      </c>
      <c r="C34" s="278">
        <v>1</v>
      </c>
      <c r="D34" s="278"/>
      <c r="E34" s="278"/>
      <c r="F34" s="278"/>
      <c r="G34" s="278"/>
      <c r="H34" s="279">
        <f t="shared" ref="H34:H37" si="89">C34</f>
        <v>1</v>
      </c>
      <c r="I34" s="279">
        <f t="shared" ref="I34:I37" si="90">D34</f>
        <v>0</v>
      </c>
      <c r="J34" s="279">
        <f t="shared" ref="J34:J37" si="91">E34</f>
        <v>0</v>
      </c>
      <c r="K34" s="279">
        <f t="shared" ref="K34:K37" si="92">F34</f>
        <v>0</v>
      </c>
      <c r="L34" s="279">
        <f t="shared" ref="L34:L37" si="93">G34</f>
        <v>0</v>
      </c>
      <c r="M34" s="279">
        <f t="shared" ref="M34:M37" si="94">H34</f>
        <v>1</v>
      </c>
      <c r="N34" s="279">
        <f t="shared" ref="N34:N37" si="95">I34</f>
        <v>0</v>
      </c>
      <c r="O34" s="279">
        <f t="shared" ref="O34:O37" si="96">J34</f>
        <v>0</v>
      </c>
      <c r="P34" s="279">
        <f t="shared" ref="P34:P37" si="97">K34</f>
        <v>0</v>
      </c>
      <c r="Q34" s="279">
        <f t="shared" ref="Q34:Q37" si="98">L34</f>
        <v>0</v>
      </c>
      <c r="R34" s="279">
        <f t="shared" ref="R34:R37" si="99">M34</f>
        <v>1</v>
      </c>
      <c r="S34" s="279">
        <f t="shared" ref="S34:S37" si="100">N34</f>
        <v>0</v>
      </c>
      <c r="T34" s="279">
        <f t="shared" ref="T34:T37" si="101">O34</f>
        <v>0</v>
      </c>
      <c r="U34" s="279">
        <f t="shared" ref="U34:U37" si="102">P34</f>
        <v>0</v>
      </c>
      <c r="V34" s="279">
        <f t="shared" ref="V34:V37" si="103">Q34</f>
        <v>0</v>
      </c>
      <c r="W34" s="279">
        <f t="shared" ref="W34:W37" si="104">R34</f>
        <v>1</v>
      </c>
      <c r="X34" s="279">
        <f t="shared" ref="X34:X37" si="105">S34</f>
        <v>0</v>
      </c>
      <c r="Y34" s="279">
        <f t="shared" ref="Y34:Y37" si="106">T34</f>
        <v>0</v>
      </c>
      <c r="Z34" s="279">
        <f t="shared" ref="Z34:Z37" si="107">U34</f>
        <v>0</v>
      </c>
      <c r="AA34" s="279">
        <f t="shared" ref="AA34:AA37" si="108">V34</f>
        <v>0</v>
      </c>
    </row>
    <row r="35" spans="2:27">
      <c r="B35" s="190" t="s">
        <v>111</v>
      </c>
      <c r="C35" s="278">
        <v>1</v>
      </c>
      <c r="D35" s="278"/>
      <c r="E35" s="278"/>
      <c r="F35" s="278"/>
      <c r="G35" s="278"/>
      <c r="H35" s="279">
        <f t="shared" si="89"/>
        <v>1</v>
      </c>
      <c r="I35" s="279">
        <f t="shared" si="90"/>
        <v>0</v>
      </c>
      <c r="J35" s="279">
        <f t="shared" si="91"/>
        <v>0</v>
      </c>
      <c r="K35" s="279">
        <f t="shared" si="92"/>
        <v>0</v>
      </c>
      <c r="L35" s="279">
        <f t="shared" si="93"/>
        <v>0</v>
      </c>
      <c r="M35" s="279">
        <f t="shared" si="94"/>
        <v>1</v>
      </c>
      <c r="N35" s="279">
        <f t="shared" si="95"/>
        <v>0</v>
      </c>
      <c r="O35" s="279">
        <f t="shared" si="96"/>
        <v>0</v>
      </c>
      <c r="P35" s="279">
        <f t="shared" si="97"/>
        <v>0</v>
      </c>
      <c r="Q35" s="279">
        <f t="shared" si="98"/>
        <v>0</v>
      </c>
      <c r="R35" s="279">
        <f t="shared" si="99"/>
        <v>1</v>
      </c>
      <c r="S35" s="279">
        <f t="shared" si="100"/>
        <v>0</v>
      </c>
      <c r="T35" s="279">
        <f t="shared" si="101"/>
        <v>0</v>
      </c>
      <c r="U35" s="279">
        <f t="shared" si="102"/>
        <v>0</v>
      </c>
      <c r="V35" s="279">
        <f t="shared" si="103"/>
        <v>0</v>
      </c>
      <c r="W35" s="279">
        <f t="shared" si="104"/>
        <v>1</v>
      </c>
      <c r="X35" s="279">
        <f t="shared" si="105"/>
        <v>0</v>
      </c>
      <c r="Y35" s="279">
        <f t="shared" si="106"/>
        <v>0</v>
      </c>
      <c r="Z35" s="279">
        <f t="shared" si="107"/>
        <v>0</v>
      </c>
      <c r="AA35" s="279">
        <f t="shared" si="108"/>
        <v>0</v>
      </c>
    </row>
    <row r="36" spans="2:27" ht="15">
      <c r="B36" s="11" t="s">
        <v>112</v>
      </c>
      <c r="C36" s="278"/>
      <c r="D36" s="278">
        <v>1</v>
      </c>
      <c r="E36" s="278"/>
      <c r="F36" s="278"/>
      <c r="G36" s="278"/>
      <c r="H36" s="279">
        <f t="shared" si="89"/>
        <v>0</v>
      </c>
      <c r="I36" s="279">
        <f t="shared" si="90"/>
        <v>1</v>
      </c>
      <c r="J36" s="279">
        <f t="shared" si="91"/>
        <v>0</v>
      </c>
      <c r="K36" s="279">
        <f t="shared" si="92"/>
        <v>0</v>
      </c>
      <c r="L36" s="279">
        <f t="shared" si="93"/>
        <v>0</v>
      </c>
      <c r="M36" s="279">
        <f t="shared" si="94"/>
        <v>0</v>
      </c>
      <c r="N36" s="279">
        <f t="shared" si="95"/>
        <v>1</v>
      </c>
      <c r="O36" s="279">
        <f t="shared" si="96"/>
        <v>0</v>
      </c>
      <c r="P36" s="279">
        <f t="shared" si="97"/>
        <v>0</v>
      </c>
      <c r="Q36" s="279">
        <f t="shared" si="98"/>
        <v>0</v>
      </c>
      <c r="R36" s="279">
        <f t="shared" si="99"/>
        <v>0</v>
      </c>
      <c r="S36" s="279">
        <f t="shared" si="100"/>
        <v>1</v>
      </c>
      <c r="T36" s="279">
        <f t="shared" si="101"/>
        <v>0</v>
      </c>
      <c r="U36" s="279">
        <f t="shared" si="102"/>
        <v>0</v>
      </c>
      <c r="V36" s="279">
        <f t="shared" si="103"/>
        <v>0</v>
      </c>
      <c r="W36" s="279">
        <f t="shared" si="104"/>
        <v>0</v>
      </c>
      <c r="X36" s="279">
        <f t="shared" si="105"/>
        <v>1</v>
      </c>
      <c r="Y36" s="279">
        <f t="shared" si="106"/>
        <v>0</v>
      </c>
      <c r="Z36" s="279">
        <f t="shared" si="107"/>
        <v>0</v>
      </c>
      <c r="AA36" s="279">
        <f t="shared" si="108"/>
        <v>0</v>
      </c>
    </row>
    <row r="37" spans="2:27" ht="15">
      <c r="B37" s="11" t="s">
        <v>113</v>
      </c>
      <c r="C37" s="278"/>
      <c r="D37" s="278">
        <v>1</v>
      </c>
      <c r="E37" s="278"/>
      <c r="F37" s="278"/>
      <c r="G37" s="278"/>
      <c r="H37" s="279">
        <f t="shared" si="89"/>
        <v>0</v>
      </c>
      <c r="I37" s="279">
        <f t="shared" si="90"/>
        <v>1</v>
      </c>
      <c r="J37" s="279">
        <f t="shared" si="91"/>
        <v>0</v>
      </c>
      <c r="K37" s="279">
        <f t="shared" si="92"/>
        <v>0</v>
      </c>
      <c r="L37" s="279">
        <f t="shared" si="93"/>
        <v>0</v>
      </c>
      <c r="M37" s="279">
        <f t="shared" si="94"/>
        <v>0</v>
      </c>
      <c r="N37" s="279">
        <f t="shared" si="95"/>
        <v>1</v>
      </c>
      <c r="O37" s="279">
        <f t="shared" si="96"/>
        <v>0</v>
      </c>
      <c r="P37" s="279">
        <f t="shared" si="97"/>
        <v>0</v>
      </c>
      <c r="Q37" s="279">
        <f t="shared" si="98"/>
        <v>0</v>
      </c>
      <c r="R37" s="279">
        <f t="shared" si="99"/>
        <v>0</v>
      </c>
      <c r="S37" s="279">
        <f t="shared" si="100"/>
        <v>1</v>
      </c>
      <c r="T37" s="279">
        <f t="shared" si="101"/>
        <v>0</v>
      </c>
      <c r="U37" s="279">
        <f t="shared" si="102"/>
        <v>0</v>
      </c>
      <c r="V37" s="279">
        <f t="shared" si="103"/>
        <v>0</v>
      </c>
      <c r="W37" s="279">
        <f t="shared" si="104"/>
        <v>0</v>
      </c>
      <c r="X37" s="279">
        <f t="shared" si="105"/>
        <v>1</v>
      </c>
      <c r="Y37" s="279">
        <f t="shared" si="106"/>
        <v>0</v>
      </c>
      <c r="Z37" s="279">
        <f t="shared" si="107"/>
        <v>0</v>
      </c>
      <c r="AA37" s="279">
        <f t="shared" si="108"/>
        <v>0</v>
      </c>
    </row>
  </sheetData>
  <mergeCells count="15">
    <mergeCell ref="AI27:AP27"/>
    <mergeCell ref="C27:J27"/>
    <mergeCell ref="K27:R27"/>
    <mergeCell ref="S27:Z27"/>
    <mergeCell ref="AA27:AH27"/>
    <mergeCell ref="C32:G32"/>
    <mergeCell ref="H32:L32"/>
    <mergeCell ref="M32:Q32"/>
    <mergeCell ref="R32:V32"/>
    <mergeCell ref="W32:AA32"/>
    <mergeCell ref="C5:J5"/>
    <mergeCell ref="K5:R5"/>
    <mergeCell ref="S5:Z5"/>
    <mergeCell ref="AA5:AH5"/>
    <mergeCell ref="AI5:AP5"/>
  </mergeCells>
  <dataValidations count="2">
    <dataValidation type="decimal" operator="greaterThanOrEqual" allowBlank="1" showInputMessage="1" showErrorMessage="1" sqref="C29:AP29">
      <formula1>0</formula1>
    </dataValidation>
    <dataValidation type="decimal" allowBlank="1" showInputMessage="1" showErrorMessage="1" error="The number in this cell must be between 0% and 100%." sqref="C7:AP22 C34:AA37">
      <formula1>0</formula1>
      <formula2>1</formula2>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enableFormatConditionsCalculation="0">
    <tabColor indexed="41"/>
  </sheetPr>
  <dimension ref="A3:AG124"/>
  <sheetViews>
    <sheetView showGridLines="0" topLeftCell="E10" workbookViewId="0">
      <selection activeCell="D10" sqref="D1:I1048576"/>
    </sheetView>
  </sheetViews>
  <sheetFormatPr defaultColWidth="8.85546875" defaultRowHeight="12.75"/>
  <cols>
    <col min="1" max="1" width="4" style="43" customWidth="1"/>
    <col min="2" max="2" width="10" style="195" customWidth="1"/>
    <col min="3" max="3" width="54.42578125" style="43" customWidth="1"/>
    <col min="4" max="247" width="20.7109375" style="43" customWidth="1"/>
    <col min="248" max="16384" width="8.85546875" style="43"/>
  </cols>
  <sheetData>
    <row r="3" spans="3:32" ht="13.5" thickBot="1">
      <c r="G3" s="350" t="s">
        <v>1533</v>
      </c>
      <c r="H3" s="351"/>
      <c r="I3" s="351"/>
      <c r="J3" s="351"/>
      <c r="K3" s="351"/>
      <c r="L3" s="351"/>
      <c r="M3" s="351"/>
      <c r="N3" s="351"/>
      <c r="O3" s="351"/>
      <c r="P3" s="351"/>
      <c r="Q3" s="351"/>
      <c r="R3" s="351"/>
      <c r="S3" s="351"/>
      <c r="T3" s="351"/>
      <c r="U3" s="351"/>
      <c r="V3" s="351"/>
      <c r="W3" s="351"/>
      <c r="X3" s="351"/>
      <c r="Y3" s="351"/>
      <c r="Z3" s="351"/>
      <c r="AA3" s="351"/>
      <c r="AB3" s="351"/>
      <c r="AC3" s="351"/>
      <c r="AD3" s="351"/>
      <c r="AE3" s="352"/>
    </row>
    <row r="4" spans="3:32">
      <c r="D4" s="44"/>
      <c r="G4" s="353" t="s">
        <v>1532</v>
      </c>
      <c r="H4" s="354"/>
      <c r="I4" s="354"/>
      <c r="J4" s="354"/>
      <c r="K4" s="355"/>
      <c r="L4" s="356" t="s">
        <v>1531</v>
      </c>
      <c r="M4" s="357"/>
      <c r="N4" s="357"/>
      <c r="O4" s="358"/>
      <c r="P4" s="356" t="s">
        <v>1530</v>
      </c>
      <c r="Q4" s="357"/>
      <c r="R4" s="357"/>
      <c r="S4" s="358"/>
      <c r="T4" s="356" t="s">
        <v>1529</v>
      </c>
      <c r="U4" s="357"/>
      <c r="V4" s="357"/>
      <c r="W4" s="358"/>
      <c r="X4" s="356" t="s">
        <v>1528</v>
      </c>
      <c r="Y4" s="357"/>
      <c r="Z4" s="357"/>
      <c r="AA4" s="358"/>
      <c r="AB4" s="356" t="s">
        <v>1527</v>
      </c>
      <c r="AC4" s="357"/>
      <c r="AD4" s="357"/>
      <c r="AE4" s="358"/>
    </row>
    <row r="5" spans="3:32" ht="18">
      <c r="C5" s="205"/>
      <c r="G5" s="224" t="s">
        <v>1490</v>
      </c>
      <c r="H5" s="198" t="s">
        <v>1526</v>
      </c>
      <c r="I5" s="198" t="s">
        <v>1525</v>
      </c>
      <c r="J5" s="198" t="s">
        <v>1524</v>
      </c>
      <c r="K5" s="223" t="s">
        <v>1523</v>
      </c>
      <c r="L5" s="224" t="s">
        <v>1526</v>
      </c>
      <c r="M5" s="198" t="s">
        <v>1525</v>
      </c>
      <c r="N5" s="198" t="s">
        <v>1524</v>
      </c>
      <c r="O5" s="223" t="s">
        <v>1523</v>
      </c>
      <c r="P5" s="224" t="s">
        <v>1526</v>
      </c>
      <c r="Q5" s="198" t="s">
        <v>1525</v>
      </c>
      <c r="R5" s="198" t="s">
        <v>1524</v>
      </c>
      <c r="S5" s="223" t="s">
        <v>1523</v>
      </c>
      <c r="T5" s="224" t="s">
        <v>1526</v>
      </c>
      <c r="U5" s="198" t="s">
        <v>1525</v>
      </c>
      <c r="V5" s="198" t="s">
        <v>1524</v>
      </c>
      <c r="W5" s="223" t="s">
        <v>1523</v>
      </c>
      <c r="X5" s="224" t="s">
        <v>1526</v>
      </c>
      <c r="Y5" s="198" t="s">
        <v>1525</v>
      </c>
      <c r="Z5" s="198" t="s">
        <v>1524</v>
      </c>
      <c r="AA5" s="223" t="s">
        <v>1523</v>
      </c>
      <c r="AB5" s="224" t="s">
        <v>1526</v>
      </c>
      <c r="AC5" s="198" t="s">
        <v>1525</v>
      </c>
      <c r="AD5" s="198" t="s">
        <v>1524</v>
      </c>
      <c r="AE5" s="223" t="s">
        <v>1523</v>
      </c>
    </row>
    <row r="6" spans="3:32" ht="18">
      <c r="C6" s="205"/>
      <c r="E6" s="222" t="s">
        <v>1516</v>
      </c>
      <c r="F6" s="221" t="s">
        <v>1442</v>
      </c>
      <c r="G6" s="220" t="str">
        <f>+'CDCM Forecast Data'!E11</f>
        <v>2015/16</v>
      </c>
      <c r="H6" s="219" t="str">
        <f>+'CDCM Forecast Data'!F11</f>
        <v>2016/17</v>
      </c>
      <c r="I6" s="219" t="str">
        <f>+'CDCM Forecast Data'!G11</f>
        <v>2017/18</v>
      </c>
      <c r="J6" s="219" t="str">
        <f>+'CDCM Forecast Data'!H11</f>
        <v>2018/19</v>
      </c>
      <c r="K6" s="218" t="str">
        <f>+'CDCM Forecast Data'!I11</f>
        <v>2019/20</v>
      </c>
      <c r="L6" s="220" t="str">
        <f t="shared" ref="L6:AE6" si="0">+H6</f>
        <v>2016/17</v>
      </c>
      <c r="M6" s="219" t="str">
        <f t="shared" si="0"/>
        <v>2017/18</v>
      </c>
      <c r="N6" s="219" t="str">
        <f t="shared" si="0"/>
        <v>2018/19</v>
      </c>
      <c r="O6" s="218" t="str">
        <f t="shared" si="0"/>
        <v>2019/20</v>
      </c>
      <c r="P6" s="220" t="str">
        <f t="shared" si="0"/>
        <v>2016/17</v>
      </c>
      <c r="Q6" s="219" t="str">
        <f t="shared" si="0"/>
        <v>2017/18</v>
      </c>
      <c r="R6" s="219" t="str">
        <f t="shared" si="0"/>
        <v>2018/19</v>
      </c>
      <c r="S6" s="218" t="str">
        <f t="shared" si="0"/>
        <v>2019/20</v>
      </c>
      <c r="T6" s="220" t="str">
        <f t="shared" si="0"/>
        <v>2016/17</v>
      </c>
      <c r="U6" s="219" t="str">
        <f t="shared" si="0"/>
        <v>2017/18</v>
      </c>
      <c r="V6" s="219" t="str">
        <f t="shared" si="0"/>
        <v>2018/19</v>
      </c>
      <c r="W6" s="218" t="str">
        <f t="shared" si="0"/>
        <v>2019/20</v>
      </c>
      <c r="X6" s="220" t="str">
        <f t="shared" si="0"/>
        <v>2016/17</v>
      </c>
      <c r="Y6" s="219" t="str">
        <f t="shared" si="0"/>
        <v>2017/18</v>
      </c>
      <c r="Z6" s="219" t="str">
        <f t="shared" si="0"/>
        <v>2018/19</v>
      </c>
      <c r="AA6" s="218" t="str">
        <f t="shared" si="0"/>
        <v>2019/20</v>
      </c>
      <c r="AB6" s="220" t="str">
        <f t="shared" si="0"/>
        <v>2016/17</v>
      </c>
      <c r="AC6" s="219" t="str">
        <f t="shared" si="0"/>
        <v>2017/18</v>
      </c>
      <c r="AD6" s="219" t="str">
        <f t="shared" si="0"/>
        <v>2018/19</v>
      </c>
      <c r="AE6" s="218" t="str">
        <f t="shared" si="0"/>
        <v>2019/20</v>
      </c>
      <c r="AF6" s="217" t="s">
        <v>1440</v>
      </c>
    </row>
    <row r="7" spans="3:32" ht="18">
      <c r="C7" s="205"/>
      <c r="E7" s="197">
        <v>1</v>
      </c>
      <c r="F7" s="215" t="s">
        <v>1844</v>
      </c>
      <c r="G7" s="216"/>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2"/>
    </row>
    <row r="8" spans="3:32" ht="18">
      <c r="C8" s="205"/>
      <c r="E8" s="197">
        <v>2</v>
      </c>
      <c r="F8" s="215" t="s">
        <v>1845</v>
      </c>
      <c r="G8" s="216"/>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2"/>
    </row>
    <row r="9" spans="3:32" ht="18">
      <c r="C9" s="205"/>
      <c r="E9" s="197">
        <v>3</v>
      </c>
      <c r="F9" s="215" t="s">
        <v>1847</v>
      </c>
      <c r="G9" s="216"/>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2"/>
    </row>
    <row r="10" spans="3:32" ht="18">
      <c r="C10" s="205"/>
      <c r="E10" s="197">
        <v>4</v>
      </c>
      <c r="F10" s="215" t="s">
        <v>1846</v>
      </c>
      <c r="G10" s="216"/>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2"/>
    </row>
    <row r="11" spans="3:32" ht="18">
      <c r="C11" s="205"/>
      <c r="E11" s="197">
        <v>5</v>
      </c>
      <c r="F11" s="215" t="s">
        <v>1847</v>
      </c>
      <c r="G11" s="216"/>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2"/>
    </row>
    <row r="12" spans="3:32" ht="18">
      <c r="C12" s="205"/>
      <c r="E12" s="197">
        <v>6</v>
      </c>
      <c r="F12" s="215" t="s">
        <v>1847</v>
      </c>
      <c r="G12" s="216"/>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2"/>
    </row>
    <row r="13" spans="3:32" ht="18">
      <c r="C13" s="205"/>
      <c r="E13" s="197">
        <v>7</v>
      </c>
      <c r="F13" s="215" t="s">
        <v>1847</v>
      </c>
      <c r="G13" s="216"/>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2"/>
    </row>
    <row r="14" spans="3:32" ht="18">
      <c r="C14" s="205"/>
      <c r="E14" s="197">
        <v>8</v>
      </c>
      <c r="F14" s="215" t="s">
        <v>1847</v>
      </c>
      <c r="G14" s="216"/>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2"/>
    </row>
    <row r="15" spans="3:32" ht="18">
      <c r="C15" s="205"/>
      <c r="E15" s="197">
        <v>9</v>
      </c>
      <c r="F15" s="215" t="s">
        <v>1847</v>
      </c>
      <c r="G15" s="216"/>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2"/>
    </row>
    <row r="16" spans="3:32" ht="18.75" thickBot="1">
      <c r="C16" s="205"/>
      <c r="E16" s="197">
        <v>10</v>
      </c>
      <c r="F16" s="215" t="s">
        <v>1847</v>
      </c>
      <c r="G16" s="214"/>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2"/>
    </row>
    <row r="17" spans="1:33" ht="18">
      <c r="C17" s="205"/>
      <c r="E17" s="211"/>
      <c r="F17" s="202"/>
      <c r="G17" s="210"/>
      <c r="H17" s="210"/>
      <c r="I17" s="210"/>
      <c r="J17" s="210"/>
      <c r="K17" s="210"/>
      <c r="L17" s="210"/>
    </row>
    <row r="18" spans="1:33" ht="18">
      <c r="C18" s="205"/>
      <c r="E18" s="209" t="s">
        <v>1522</v>
      </c>
      <c r="F18" s="208" t="s">
        <v>2</v>
      </c>
      <c r="G18" s="207" t="str">
        <f>G6</f>
        <v>2015/16</v>
      </c>
      <c r="H18" s="207" t="str">
        <f>H6</f>
        <v>2016/17</v>
      </c>
      <c r="I18" s="207" t="str">
        <f>I6</f>
        <v>2017/18</v>
      </c>
      <c r="J18" s="207" t="str">
        <f>J6</f>
        <v>2018/19</v>
      </c>
      <c r="K18" s="207" t="str">
        <f>K6</f>
        <v>2019/20</v>
      </c>
      <c r="L18" s="206"/>
    </row>
    <row r="19" spans="1:33" ht="18">
      <c r="C19" s="205"/>
      <c r="F19" s="204" t="s">
        <v>1521</v>
      </c>
      <c r="G19" s="203">
        <f>SUM(D28:F123)</f>
        <v>8997160.8460162915</v>
      </c>
      <c r="H19" s="203">
        <f>SUM(J28:L123)</f>
        <v>8997160.8460162915</v>
      </c>
      <c r="I19" s="203">
        <f>SUM(P28:R123)</f>
        <v>8997160.8460162915</v>
      </c>
      <c r="J19" s="203">
        <f>SUM(V28:X123)</f>
        <v>8997160.8460162915</v>
      </c>
      <c r="K19" s="203">
        <f>SUM(AB28:AD123)</f>
        <v>8997160.8460162915</v>
      </c>
      <c r="L19" s="201"/>
    </row>
    <row r="20" spans="1:33" ht="18">
      <c r="C20" s="205"/>
      <c r="F20" s="204" t="s">
        <v>1520</v>
      </c>
      <c r="G20" s="203">
        <f>SUM(G28:G123)</f>
        <v>1115236</v>
      </c>
      <c r="H20" s="203">
        <f>SUM(M28:M123)</f>
        <v>1115236</v>
      </c>
      <c r="I20" s="203">
        <f>SUM(S28:S123)</f>
        <v>1115236</v>
      </c>
      <c r="J20" s="203">
        <f>SUM(Y28:Y123)</f>
        <v>1115236</v>
      </c>
      <c r="K20" s="203">
        <f>SUM(AE28:AE123)</f>
        <v>1115236</v>
      </c>
      <c r="L20" s="201"/>
    </row>
    <row r="21" spans="1:33" ht="17.25" customHeight="1">
      <c r="F21" s="204" t="s">
        <v>1519</v>
      </c>
      <c r="G21" s="203">
        <f>SUM(H28:H123)</f>
        <v>1294341</v>
      </c>
      <c r="H21" s="203">
        <f>SUM(N28:N123)</f>
        <v>1294341</v>
      </c>
      <c r="I21" s="203">
        <f>SUM(T28:T123)</f>
        <v>1294341</v>
      </c>
      <c r="J21" s="203">
        <f>SUM(Z28:Z123)</f>
        <v>1294341</v>
      </c>
      <c r="K21" s="203">
        <f>SUM(AF28:AF123)</f>
        <v>1294341</v>
      </c>
      <c r="L21" s="201"/>
    </row>
    <row r="22" spans="1:33" ht="17.25" customHeight="1">
      <c r="F22" s="204" t="s">
        <v>1518</v>
      </c>
      <c r="G22" s="203">
        <f>SUM(I28:I123)</f>
        <v>286760</v>
      </c>
      <c r="H22" s="203">
        <f>SUM(O28:O123)</f>
        <v>286760</v>
      </c>
      <c r="I22" s="203">
        <f>SUM(U28:U123)</f>
        <v>286760</v>
      </c>
      <c r="J22" s="203">
        <f>SUM(AA28:AA123)</f>
        <v>286760</v>
      </c>
      <c r="K22" s="203">
        <f>SUM(AG28:AG123)</f>
        <v>286760</v>
      </c>
      <c r="L22" s="201"/>
    </row>
    <row r="23" spans="1:33" ht="17.25" customHeight="1">
      <c r="E23" s="202"/>
      <c r="F23" s="202"/>
      <c r="G23" s="201"/>
      <c r="H23" s="201"/>
      <c r="I23" s="201"/>
      <c r="J23" s="201"/>
      <c r="K23" s="201"/>
      <c r="L23" s="201"/>
    </row>
    <row r="24" spans="1:33" ht="13.5" thickBot="1"/>
    <row r="25" spans="1:33" ht="18">
      <c r="C25" s="200" t="s">
        <v>1517</v>
      </c>
      <c r="D25" s="347" t="str">
        <f>G6&amp; " - ("&amp;G5&amp;")"</f>
        <v>2015/16 - (Y)</v>
      </c>
      <c r="E25" s="348"/>
      <c r="F25" s="348"/>
      <c r="G25" s="348"/>
      <c r="H25" s="348"/>
      <c r="I25" s="349"/>
      <c r="J25" s="347" t="str">
        <f>H6&amp; " - ("&amp;H5&amp;")"</f>
        <v>2016/17 - (Y + 1)</v>
      </c>
      <c r="K25" s="348"/>
      <c r="L25" s="348"/>
      <c r="M25" s="348"/>
      <c r="N25" s="348"/>
      <c r="O25" s="349"/>
      <c r="P25" s="347" t="str">
        <f>I6&amp; " - ("&amp;I5&amp;")"</f>
        <v>2017/18 - (Y + 2)</v>
      </c>
      <c r="Q25" s="348"/>
      <c r="R25" s="348"/>
      <c r="S25" s="348"/>
      <c r="T25" s="348"/>
      <c r="U25" s="349"/>
      <c r="V25" s="347" t="str">
        <f>J6&amp; " - ("&amp;J5&amp;")"</f>
        <v>2018/19 - (Y + 3)</v>
      </c>
      <c r="W25" s="348"/>
      <c r="X25" s="348"/>
      <c r="Y25" s="348"/>
      <c r="Z25" s="348"/>
      <c r="AA25" s="349"/>
      <c r="AB25" s="347" t="str">
        <f>K6&amp; " - ("&amp;K5&amp;")"</f>
        <v>2019/20 - (Y + 4)</v>
      </c>
      <c r="AC25" s="348"/>
      <c r="AD25" s="348"/>
      <c r="AE25" s="348"/>
      <c r="AF25" s="348"/>
      <c r="AG25" s="349"/>
    </row>
    <row r="26" spans="1:33" ht="25.5">
      <c r="B26" s="199" t="s">
        <v>1516</v>
      </c>
      <c r="C26" s="286" t="s">
        <v>1515</v>
      </c>
      <c r="D26" s="289" t="s">
        <v>140</v>
      </c>
      <c r="E26" s="236" t="s">
        <v>141</v>
      </c>
      <c r="F26" s="236" t="s">
        <v>142</v>
      </c>
      <c r="G26" s="236" t="s">
        <v>143</v>
      </c>
      <c r="H26" s="236" t="s">
        <v>144</v>
      </c>
      <c r="I26" s="290" t="s">
        <v>145</v>
      </c>
      <c r="J26" s="289" t="s">
        <v>140</v>
      </c>
      <c r="K26" s="236" t="s">
        <v>141</v>
      </c>
      <c r="L26" s="236" t="s">
        <v>142</v>
      </c>
      <c r="M26" s="236" t="s">
        <v>143</v>
      </c>
      <c r="N26" s="236" t="s">
        <v>144</v>
      </c>
      <c r="O26" s="290" t="s">
        <v>145</v>
      </c>
      <c r="P26" s="289" t="s">
        <v>140</v>
      </c>
      <c r="Q26" s="236" t="s">
        <v>141</v>
      </c>
      <c r="R26" s="236" t="s">
        <v>142</v>
      </c>
      <c r="S26" s="236" t="s">
        <v>143</v>
      </c>
      <c r="T26" s="236" t="s">
        <v>144</v>
      </c>
      <c r="U26" s="290" t="s">
        <v>145</v>
      </c>
      <c r="V26" s="289" t="s">
        <v>140</v>
      </c>
      <c r="W26" s="236" t="s">
        <v>141</v>
      </c>
      <c r="X26" s="236" t="s">
        <v>142</v>
      </c>
      <c r="Y26" s="236" t="s">
        <v>143</v>
      </c>
      <c r="Z26" s="236" t="s">
        <v>144</v>
      </c>
      <c r="AA26" s="290" t="s">
        <v>145</v>
      </c>
      <c r="AB26" s="289" t="s">
        <v>140</v>
      </c>
      <c r="AC26" s="236" t="s">
        <v>141</v>
      </c>
      <c r="AD26" s="236" t="s">
        <v>142</v>
      </c>
      <c r="AE26" s="236" t="s">
        <v>143</v>
      </c>
      <c r="AF26" s="236" t="s">
        <v>144</v>
      </c>
      <c r="AG26" s="290" t="s">
        <v>145</v>
      </c>
    </row>
    <row r="27" spans="1:33" ht="15">
      <c r="A27" s="43">
        <v>1</v>
      </c>
      <c r="B27" s="197"/>
      <c r="C27" s="287" t="s">
        <v>146</v>
      </c>
      <c r="D27" s="291"/>
      <c r="E27" s="282"/>
      <c r="F27" s="282"/>
      <c r="G27" s="282"/>
      <c r="H27" s="282"/>
      <c r="I27" s="292"/>
      <c r="J27" s="291"/>
      <c r="K27" s="282"/>
      <c r="L27" s="282"/>
      <c r="M27" s="282"/>
      <c r="N27" s="282"/>
      <c r="O27" s="292"/>
      <c r="P27" s="291"/>
      <c r="Q27" s="282"/>
      <c r="R27" s="282"/>
      <c r="S27" s="282"/>
      <c r="T27" s="282"/>
      <c r="U27" s="292"/>
      <c r="V27" s="291"/>
      <c r="W27" s="282"/>
      <c r="X27" s="282"/>
      <c r="Y27" s="282"/>
      <c r="Z27" s="282"/>
      <c r="AA27" s="292"/>
      <c r="AB27" s="291"/>
      <c r="AC27" s="282"/>
      <c r="AD27" s="282"/>
      <c r="AE27" s="282"/>
      <c r="AF27" s="282"/>
      <c r="AG27" s="292"/>
    </row>
    <row r="28" spans="1:33" ht="15">
      <c r="A28" s="43">
        <f>A27+1</f>
        <v>2</v>
      </c>
      <c r="B28" s="197">
        <v>1</v>
      </c>
      <c r="C28" s="288" t="s">
        <v>92</v>
      </c>
      <c r="D28" s="293">
        <v>3242264.655750392</v>
      </c>
      <c r="E28" s="284"/>
      <c r="F28" s="284"/>
      <c r="G28" s="293">
        <v>964740</v>
      </c>
      <c r="H28" s="284"/>
      <c r="I28" s="294"/>
      <c r="J28" s="293">
        <f>IF(D28,((VLOOKUP($B28,$E$7:$AE$16,4)+1)*D28),)</f>
        <v>3242264.655750392</v>
      </c>
      <c r="K28" s="284">
        <f>IF(E28,((VLOOKUP($B28,$E$7:$AE$16,8)+1)*E28),)</f>
        <v>0</v>
      </c>
      <c r="L28" s="284">
        <f>IF(F28,((VLOOKUP($B28,$E$7:$AE$16,12)+1)*F28),)</f>
        <v>0</v>
      </c>
      <c r="M28" s="285">
        <f>IF(G28,((VLOOKUP($B28,$E$7:$AE$16,16)+1)*G28),)</f>
        <v>964740</v>
      </c>
      <c r="N28" s="284">
        <f>IF(H28,((VLOOKUP($B28,$E$7:$AE$16,20)+1)*H28),)</f>
        <v>0</v>
      </c>
      <c r="O28" s="294">
        <f>IF(I28,((VLOOKUP($B28,$E$7:$AE$16,24)+1)*I28),)</f>
        <v>0</v>
      </c>
      <c r="P28" s="293">
        <f>IF(D28,((VLOOKUP($B28,$E$7:$AE$16,5)+1)*J28),)</f>
        <v>3242264.655750392</v>
      </c>
      <c r="Q28" s="284">
        <f>IF(E28,((VLOOKUP($B28,$E$7:$AE$16,5+4)+1)*K28),)</f>
        <v>0</v>
      </c>
      <c r="R28" s="284">
        <f>IF(F28,((VLOOKUP($B28,$E$7:$AE$16,5+8)+1)*L28),)</f>
        <v>0</v>
      </c>
      <c r="S28" s="285">
        <f>IF(G28,((VLOOKUP($B28,$E$7:$AE$16,5+12)+1)*M28),)</f>
        <v>964740</v>
      </c>
      <c r="T28" s="284">
        <f>IF(H28,((VLOOKUP($B28,$E$7:$AE$16,5+16)+1)*N28),)</f>
        <v>0</v>
      </c>
      <c r="U28" s="294">
        <f>IF(I28,((VLOOKUP($B28,$E$7:$AE$16,5+20)+1)*O28),)</f>
        <v>0</v>
      </c>
      <c r="V28" s="293">
        <f>IF(D28,((VLOOKUP($B28,$E$7:$AE$16,6)+1)*P28),)</f>
        <v>3242264.655750392</v>
      </c>
      <c r="W28" s="284">
        <f>IF(E28,((VLOOKUP($B28,$E$7:$AE$16,6+4)+1)*Q28),)</f>
        <v>0</v>
      </c>
      <c r="X28" s="284">
        <f>IF(F28,((VLOOKUP($B28,$E$7:$AE$16,6+8)+1)*R28),)</f>
        <v>0</v>
      </c>
      <c r="Y28" s="285">
        <f>IF(G28,((VLOOKUP($B28,$E$7:$AE$16,6+12)+1)*S28),)</f>
        <v>964740</v>
      </c>
      <c r="Z28" s="284">
        <f>IF(H28,((VLOOKUP($B28,$E$7:$AE$16,6+16)+1)*T28),)</f>
        <v>0</v>
      </c>
      <c r="AA28" s="294">
        <f>IF(I28,((VLOOKUP($B28,$E$7:$AE$16,6+20)+1)*U28),)</f>
        <v>0</v>
      </c>
      <c r="AB28" s="293">
        <f>IF(D28,((VLOOKUP($B28,$E$7:$AE$16,7)+1)*V28),)</f>
        <v>3242264.655750392</v>
      </c>
      <c r="AC28" s="284">
        <f>IF(E28,((VLOOKUP($B28,$E$7:$AE$16,7+4)+1)*W28),)</f>
        <v>0</v>
      </c>
      <c r="AD28" s="284">
        <f>IF(F28,((VLOOKUP($B28,$E$7:$AE$16,7+8)+1)*X28),)</f>
        <v>0</v>
      </c>
      <c r="AE28" s="285">
        <f>IF(G28,((VLOOKUP($B28,$E$7:$AE$16,7+12)+1)*Y28),)</f>
        <v>964740</v>
      </c>
      <c r="AF28" s="284">
        <f>IF(H28,((VLOOKUP($B28,$E$7:$AE$16,7+16)+1)*Z28),)</f>
        <v>0</v>
      </c>
      <c r="AG28" s="294">
        <f>IF(I28,((VLOOKUP($B28,$E$7:$AE$16,7+20)+1)*AA28),)</f>
        <v>0</v>
      </c>
    </row>
    <row r="29" spans="1:33" ht="15">
      <c r="A29" s="43">
        <f t="shared" ref="A29:A92" si="1">A28+1</f>
        <v>3</v>
      </c>
      <c r="B29" s="197">
        <v>1</v>
      </c>
      <c r="C29" s="288" t="s">
        <v>147</v>
      </c>
      <c r="D29" s="293">
        <v>2870.3349849031706</v>
      </c>
      <c r="E29" s="284"/>
      <c r="F29" s="284"/>
      <c r="G29" s="293">
        <v>893</v>
      </c>
      <c r="H29" s="284"/>
      <c r="I29" s="294"/>
      <c r="J29" s="293">
        <f>IF(D29,((VLOOKUP($B29,$E$7:$AE$16,4)+1)*D29),)</f>
        <v>2870.3349849031706</v>
      </c>
      <c r="K29" s="284">
        <f>IF(E29,((VLOOKUP($B29,$E$7:$AE$16,8)+1)*E29),)</f>
        <v>0</v>
      </c>
      <c r="L29" s="284">
        <f>IF(F29,((VLOOKUP($B29,$E$7:$AE$16,12)+1)*F29),)</f>
        <v>0</v>
      </c>
      <c r="M29" s="285">
        <f>IF(G29,((VLOOKUP($B29,$E$7:$AE$16,16)+1)*G29),)</f>
        <v>893</v>
      </c>
      <c r="N29" s="284">
        <f>IF(H29,((VLOOKUP($B29,$E$7:$AE$16,20)+1)*H29),)</f>
        <v>0</v>
      </c>
      <c r="O29" s="294">
        <f>IF(I29,((VLOOKUP($B29,$E$7:$AE$16,24)+1)*I29),)</f>
        <v>0</v>
      </c>
      <c r="P29" s="293">
        <f>IF(D29,((VLOOKUP($B29,$E$7:$AE$16,5)+1)*J29),)</f>
        <v>2870.3349849031706</v>
      </c>
      <c r="Q29" s="284">
        <f>IF(E29,((VLOOKUP($B29,$E$7:$AE$16,5+4)+1)*K29),)</f>
        <v>0</v>
      </c>
      <c r="R29" s="284">
        <f>IF(F29,((VLOOKUP($B29,$E$7:$AE$16,5+8)+1)*L29),)</f>
        <v>0</v>
      </c>
      <c r="S29" s="285">
        <f>IF(G29,((VLOOKUP($B29,$E$7:$AE$16,5+12)+1)*M29),)</f>
        <v>893</v>
      </c>
      <c r="T29" s="284">
        <f>IF(H29,((VLOOKUP($B29,$E$7:$AE$16,5+16)+1)*N29),)</f>
        <v>0</v>
      </c>
      <c r="U29" s="294">
        <f>IF(I29,((VLOOKUP($B29,$E$7:$AE$16,5+20)+1)*O29),)</f>
        <v>0</v>
      </c>
      <c r="V29" s="293">
        <f>IF(D29,((VLOOKUP($B29,$E$7:$AE$16,6)+1)*P29),)</f>
        <v>2870.3349849031706</v>
      </c>
      <c r="W29" s="284">
        <f>IF(E29,((VLOOKUP($B29,$E$7:$AE$16,6+4)+1)*Q29),)</f>
        <v>0</v>
      </c>
      <c r="X29" s="284">
        <f>IF(F29,((VLOOKUP($B29,$E$7:$AE$16,6+8)+1)*R29),)</f>
        <v>0</v>
      </c>
      <c r="Y29" s="285">
        <f>IF(G29,((VLOOKUP($B29,$E$7:$AE$16,6+12)+1)*S29),)</f>
        <v>893</v>
      </c>
      <c r="Z29" s="284">
        <f>IF(H29,((VLOOKUP($B29,$E$7:$AE$16,6+16)+1)*T29),)</f>
        <v>0</v>
      </c>
      <c r="AA29" s="294">
        <f>IF(I29,((VLOOKUP($B29,$E$7:$AE$16,6+20)+1)*U29),)</f>
        <v>0</v>
      </c>
      <c r="AB29" s="293">
        <f>IF(D29,((VLOOKUP($B29,$E$7:$AE$16,7)+1)*V29),)</f>
        <v>2870.3349849031706</v>
      </c>
      <c r="AC29" s="284">
        <f>IF(E29,((VLOOKUP($B29,$E$7:$AE$16,7+4)+1)*W29),)</f>
        <v>0</v>
      </c>
      <c r="AD29" s="284">
        <f>IF(F29,((VLOOKUP($B29,$E$7:$AE$16,7+8)+1)*X29),)</f>
        <v>0</v>
      </c>
      <c r="AE29" s="285">
        <f>IF(G29,((VLOOKUP($B29,$E$7:$AE$16,7+12)+1)*Y29),)</f>
        <v>893</v>
      </c>
      <c r="AF29" s="284">
        <f>IF(H29,((VLOOKUP($B29,$E$7:$AE$16,7+16)+1)*Z29),)</f>
        <v>0</v>
      </c>
      <c r="AG29" s="294">
        <f>IF(I29,((VLOOKUP($B29,$E$7:$AE$16,7+20)+1)*AA29),)</f>
        <v>0</v>
      </c>
    </row>
    <row r="30" spans="1:33" ht="15">
      <c r="A30" s="43">
        <f t="shared" si="1"/>
        <v>4</v>
      </c>
      <c r="B30" s="197">
        <v>1</v>
      </c>
      <c r="C30" s="288" t="s">
        <v>148</v>
      </c>
      <c r="D30" s="293">
        <v>11376.82714716523</v>
      </c>
      <c r="E30" s="284"/>
      <c r="F30" s="284"/>
      <c r="G30" s="293">
        <v>3843</v>
      </c>
      <c r="H30" s="284"/>
      <c r="I30" s="294"/>
      <c r="J30" s="293">
        <f>IF(D30,((VLOOKUP($B30,$E$7:$AE$16,4)+1)*D30),)</f>
        <v>11376.82714716523</v>
      </c>
      <c r="K30" s="284">
        <f>IF(E30,((VLOOKUP($B30,$E$7:$AE$16,8)+1)*E30),)</f>
        <v>0</v>
      </c>
      <c r="L30" s="284">
        <f>IF(F30,((VLOOKUP($B30,$E$7:$AE$16,12)+1)*F30),)</f>
        <v>0</v>
      </c>
      <c r="M30" s="285">
        <f>IF(G30,((VLOOKUP($B30,$E$7:$AE$16,16)+1)*G30),)</f>
        <v>3843</v>
      </c>
      <c r="N30" s="284">
        <f>IF(H30,((VLOOKUP($B30,$E$7:$AE$16,20)+1)*H30),)</f>
        <v>0</v>
      </c>
      <c r="O30" s="294">
        <f>IF(I30,((VLOOKUP($B30,$E$7:$AE$16,24)+1)*I30),)</f>
        <v>0</v>
      </c>
      <c r="P30" s="293">
        <f>IF(D30,((VLOOKUP($B30,$E$7:$AE$16,5)+1)*J30),)</f>
        <v>11376.82714716523</v>
      </c>
      <c r="Q30" s="284">
        <f>IF(E30,((VLOOKUP($B30,$E$7:$AE$16,5+4)+1)*K30),)</f>
        <v>0</v>
      </c>
      <c r="R30" s="284">
        <f>IF(F30,((VLOOKUP($B30,$E$7:$AE$16,5+8)+1)*L30),)</f>
        <v>0</v>
      </c>
      <c r="S30" s="285">
        <f>IF(G30,((VLOOKUP($B30,$E$7:$AE$16,5+12)+1)*M30),)</f>
        <v>3843</v>
      </c>
      <c r="T30" s="284">
        <f>IF(H30,((VLOOKUP($B30,$E$7:$AE$16,5+16)+1)*N30),)</f>
        <v>0</v>
      </c>
      <c r="U30" s="294">
        <f>IF(I30,((VLOOKUP($B30,$E$7:$AE$16,5+20)+1)*O30),)</f>
        <v>0</v>
      </c>
      <c r="V30" s="293">
        <f>IF(D30,((VLOOKUP($B30,$E$7:$AE$16,6)+1)*P30),)</f>
        <v>11376.82714716523</v>
      </c>
      <c r="W30" s="284">
        <f>IF(E30,((VLOOKUP($B30,$E$7:$AE$16,6+4)+1)*Q30),)</f>
        <v>0</v>
      </c>
      <c r="X30" s="284">
        <f>IF(F30,((VLOOKUP($B30,$E$7:$AE$16,6+8)+1)*R30),)</f>
        <v>0</v>
      </c>
      <c r="Y30" s="285">
        <f>IF(G30,((VLOOKUP($B30,$E$7:$AE$16,6+12)+1)*S30),)</f>
        <v>3843</v>
      </c>
      <c r="Z30" s="284">
        <f>IF(H30,((VLOOKUP($B30,$E$7:$AE$16,6+16)+1)*T30),)</f>
        <v>0</v>
      </c>
      <c r="AA30" s="294">
        <f>IF(I30,((VLOOKUP($B30,$E$7:$AE$16,6+20)+1)*U30),)</f>
        <v>0</v>
      </c>
      <c r="AB30" s="293">
        <f>IF(D30,((VLOOKUP($B30,$E$7:$AE$16,7)+1)*V30),)</f>
        <v>11376.82714716523</v>
      </c>
      <c r="AC30" s="284">
        <f>IF(E30,((VLOOKUP($B30,$E$7:$AE$16,7+4)+1)*W30),)</f>
        <v>0</v>
      </c>
      <c r="AD30" s="284">
        <f>IF(F30,((VLOOKUP($B30,$E$7:$AE$16,7+8)+1)*X30),)</f>
        <v>0</v>
      </c>
      <c r="AE30" s="285">
        <f>IF(G30,((VLOOKUP($B30,$E$7:$AE$16,7+12)+1)*Y30),)</f>
        <v>3843</v>
      </c>
      <c r="AF30" s="284">
        <f>IF(H30,((VLOOKUP($B30,$E$7:$AE$16,7+16)+1)*Z30),)</f>
        <v>0</v>
      </c>
      <c r="AG30" s="294">
        <f>IF(I30,((VLOOKUP($B30,$E$7:$AE$16,7+20)+1)*AA30),)</f>
        <v>0</v>
      </c>
    </row>
    <row r="31" spans="1:33" ht="15">
      <c r="A31" s="43">
        <f t="shared" si="1"/>
        <v>5</v>
      </c>
      <c r="B31" s="197"/>
      <c r="C31" s="287" t="s">
        <v>149</v>
      </c>
      <c r="D31" s="291"/>
      <c r="E31" s="282"/>
      <c r="F31" s="282"/>
      <c r="G31" s="282"/>
      <c r="H31" s="282"/>
      <c r="I31" s="292"/>
      <c r="J31" s="291"/>
      <c r="K31" s="282"/>
      <c r="L31" s="282"/>
      <c r="M31" s="282"/>
      <c r="N31" s="282"/>
      <c r="O31" s="292"/>
      <c r="P31" s="291"/>
      <c r="Q31" s="282"/>
      <c r="R31" s="282"/>
      <c r="S31" s="282"/>
      <c r="T31" s="282"/>
      <c r="U31" s="292"/>
      <c r="V31" s="291"/>
      <c r="W31" s="282"/>
      <c r="X31" s="282"/>
      <c r="Y31" s="282"/>
      <c r="Z31" s="282"/>
      <c r="AA31" s="292"/>
      <c r="AB31" s="291"/>
      <c r="AC31" s="282"/>
      <c r="AD31" s="282"/>
      <c r="AE31" s="282"/>
      <c r="AF31" s="282"/>
      <c r="AG31" s="292"/>
    </row>
    <row r="32" spans="1:33" ht="15">
      <c r="A32" s="43">
        <f t="shared" si="1"/>
        <v>6</v>
      </c>
      <c r="B32" s="197">
        <v>1</v>
      </c>
      <c r="C32" s="288" t="s">
        <v>93</v>
      </c>
      <c r="D32" s="293">
        <v>174847.88943573163</v>
      </c>
      <c r="E32" s="293">
        <v>180701.55632797108</v>
      </c>
      <c r="F32" s="284"/>
      <c r="G32" s="293">
        <v>58083</v>
      </c>
      <c r="H32" s="284"/>
      <c r="I32" s="294"/>
      <c r="J32" s="293">
        <f>IF(D32,((VLOOKUP($B32,$E$7:$AE$16,4)+1)*D32),)</f>
        <v>174847.88943573163</v>
      </c>
      <c r="K32" s="283">
        <f>IF(E32,((VLOOKUP($B32,$E$7:$AE$16,8)+1)*E32),)</f>
        <v>180701.55632797108</v>
      </c>
      <c r="L32" s="284">
        <f>IF(F32,((VLOOKUP($B32,$E$7:$AE$16,12)+1)*F32),)</f>
        <v>0</v>
      </c>
      <c r="M32" s="285">
        <f>IF(G32,((VLOOKUP($B32,$E$7:$AE$16,16)+1)*G32),)</f>
        <v>58083</v>
      </c>
      <c r="N32" s="284">
        <f>IF(H32,((VLOOKUP($B32,$E$7:$AE$16,20)+1)*H32),)</f>
        <v>0</v>
      </c>
      <c r="O32" s="294">
        <f>IF(I32,((VLOOKUP($B32,$E$7:$AE$16,24)+1)*I32),)</f>
        <v>0</v>
      </c>
      <c r="P32" s="293">
        <f>IF(D32,((VLOOKUP($B32,$E$7:$AE$16,5)+1)*J32),)</f>
        <v>174847.88943573163</v>
      </c>
      <c r="Q32" s="283">
        <f>IF(E32,((VLOOKUP($B32,$E$7:$AE$16,5+4)+1)*K32),)</f>
        <v>180701.55632797108</v>
      </c>
      <c r="R32" s="284">
        <f>IF(F32,((VLOOKUP($B32,$E$7:$AE$16,5+8)+1)*L32),)</f>
        <v>0</v>
      </c>
      <c r="S32" s="285">
        <f>IF(G32,((VLOOKUP($B32,$E$7:$AE$16,5+12)+1)*M32),)</f>
        <v>58083</v>
      </c>
      <c r="T32" s="284">
        <f>IF(H32,((VLOOKUP($B32,$E$7:$AE$16,5+16)+1)*N32),)</f>
        <v>0</v>
      </c>
      <c r="U32" s="294">
        <f>IF(I32,((VLOOKUP($B32,$E$7:$AE$16,5+20)+1)*O32),)</f>
        <v>0</v>
      </c>
      <c r="V32" s="293">
        <f>IF(D32,((VLOOKUP($B32,$E$7:$AE$16,6)+1)*P32),)</f>
        <v>174847.88943573163</v>
      </c>
      <c r="W32" s="283">
        <f>IF(E32,((VLOOKUP($B32,$E$7:$AE$16,6+4)+1)*Q32),)</f>
        <v>180701.55632797108</v>
      </c>
      <c r="X32" s="284">
        <f>IF(F32,((VLOOKUP($B32,$E$7:$AE$16,6+8)+1)*R32),)</f>
        <v>0</v>
      </c>
      <c r="Y32" s="285">
        <f>IF(G32,((VLOOKUP($B32,$E$7:$AE$16,6+12)+1)*S32),)</f>
        <v>58083</v>
      </c>
      <c r="Z32" s="284">
        <f>IF(H32,((VLOOKUP($B32,$E$7:$AE$16,6+16)+1)*T32),)</f>
        <v>0</v>
      </c>
      <c r="AA32" s="294">
        <f>IF(I32,((VLOOKUP($B32,$E$7:$AE$16,6+20)+1)*U32),)</f>
        <v>0</v>
      </c>
      <c r="AB32" s="293">
        <f>IF(D32,((VLOOKUP($B32,$E$7:$AE$16,7)+1)*V32),)</f>
        <v>174847.88943573163</v>
      </c>
      <c r="AC32" s="283">
        <f>IF(E32,((VLOOKUP($B32,$E$7:$AE$16,7+4)+1)*W32),)</f>
        <v>180701.55632797108</v>
      </c>
      <c r="AD32" s="284">
        <f>IF(F32,((VLOOKUP($B32,$E$7:$AE$16,7+8)+1)*X32),)</f>
        <v>0</v>
      </c>
      <c r="AE32" s="285">
        <f>IF(G32,((VLOOKUP($B32,$E$7:$AE$16,7+12)+1)*Y32),)</f>
        <v>58083</v>
      </c>
      <c r="AF32" s="284">
        <f>IF(H32,((VLOOKUP($B32,$E$7:$AE$16,7+16)+1)*Z32),)</f>
        <v>0</v>
      </c>
      <c r="AG32" s="294">
        <f>IF(I32,((VLOOKUP($B32,$E$7:$AE$16,7+20)+1)*AA32),)</f>
        <v>0</v>
      </c>
    </row>
    <row r="33" spans="1:33" ht="15">
      <c r="A33" s="43">
        <f t="shared" si="1"/>
        <v>7</v>
      </c>
      <c r="B33" s="197">
        <v>1</v>
      </c>
      <c r="C33" s="288" t="s">
        <v>150</v>
      </c>
      <c r="D33" s="293">
        <v>262.98719224025433</v>
      </c>
      <c r="E33" s="293">
        <v>6585.6695296550351</v>
      </c>
      <c r="F33" s="284"/>
      <c r="G33" s="293">
        <v>21</v>
      </c>
      <c r="H33" s="284"/>
      <c r="I33" s="294"/>
      <c r="J33" s="293">
        <f>IF(D33,((VLOOKUP($B33,$E$7:$AE$16,4)+1)*D33),)</f>
        <v>262.98719224025433</v>
      </c>
      <c r="K33" s="283">
        <f>IF(E33,((VLOOKUP($B33,$E$7:$AE$16,8)+1)*E33),)</f>
        <v>6585.6695296550351</v>
      </c>
      <c r="L33" s="284">
        <f>IF(F33,((VLOOKUP($B33,$E$7:$AE$16,12)+1)*F33),)</f>
        <v>0</v>
      </c>
      <c r="M33" s="285">
        <f>IF(G33,((VLOOKUP($B33,$E$7:$AE$16,16)+1)*G33),)</f>
        <v>21</v>
      </c>
      <c r="N33" s="284">
        <f>IF(H33,((VLOOKUP($B33,$E$7:$AE$16,20)+1)*H33),)</f>
        <v>0</v>
      </c>
      <c r="O33" s="294">
        <f>IF(I33,((VLOOKUP($B33,$E$7:$AE$16,24)+1)*I33),)</f>
        <v>0</v>
      </c>
      <c r="P33" s="293">
        <f>IF(D33,((VLOOKUP($B33,$E$7:$AE$16,5)+1)*J33),)</f>
        <v>262.98719224025433</v>
      </c>
      <c r="Q33" s="283">
        <f>IF(E33,((VLOOKUP($B33,$E$7:$AE$16,5+4)+1)*K33),)</f>
        <v>6585.6695296550351</v>
      </c>
      <c r="R33" s="284">
        <f>IF(F33,((VLOOKUP($B33,$E$7:$AE$16,5+8)+1)*L33),)</f>
        <v>0</v>
      </c>
      <c r="S33" s="285">
        <f>IF(G33,((VLOOKUP($B33,$E$7:$AE$16,5+12)+1)*M33),)</f>
        <v>21</v>
      </c>
      <c r="T33" s="284">
        <f>IF(H33,((VLOOKUP($B33,$E$7:$AE$16,5+16)+1)*N33),)</f>
        <v>0</v>
      </c>
      <c r="U33" s="294">
        <f>IF(I33,((VLOOKUP($B33,$E$7:$AE$16,5+20)+1)*O33),)</f>
        <v>0</v>
      </c>
      <c r="V33" s="293">
        <f>IF(D33,((VLOOKUP($B33,$E$7:$AE$16,6)+1)*P33),)</f>
        <v>262.98719224025433</v>
      </c>
      <c r="W33" s="283">
        <f>IF(E33,((VLOOKUP($B33,$E$7:$AE$16,6+4)+1)*Q33),)</f>
        <v>6585.6695296550351</v>
      </c>
      <c r="X33" s="284">
        <f>IF(F33,((VLOOKUP($B33,$E$7:$AE$16,6+8)+1)*R33),)</f>
        <v>0</v>
      </c>
      <c r="Y33" s="285">
        <f>IF(G33,((VLOOKUP($B33,$E$7:$AE$16,6+12)+1)*S33),)</f>
        <v>21</v>
      </c>
      <c r="Z33" s="284">
        <f>IF(H33,((VLOOKUP($B33,$E$7:$AE$16,6+16)+1)*T33),)</f>
        <v>0</v>
      </c>
      <c r="AA33" s="294">
        <f>IF(I33,((VLOOKUP($B33,$E$7:$AE$16,6+20)+1)*U33),)</f>
        <v>0</v>
      </c>
      <c r="AB33" s="293">
        <f>IF(D33,((VLOOKUP($B33,$E$7:$AE$16,7)+1)*V33),)</f>
        <v>262.98719224025433</v>
      </c>
      <c r="AC33" s="283">
        <f>IF(E33,((VLOOKUP($B33,$E$7:$AE$16,7+4)+1)*W33),)</f>
        <v>6585.6695296550351</v>
      </c>
      <c r="AD33" s="284">
        <f>IF(F33,((VLOOKUP($B33,$E$7:$AE$16,7+8)+1)*X33),)</f>
        <v>0</v>
      </c>
      <c r="AE33" s="285">
        <f>IF(G33,((VLOOKUP($B33,$E$7:$AE$16,7+12)+1)*Y33),)</f>
        <v>21</v>
      </c>
      <c r="AF33" s="284">
        <f>IF(H33,((VLOOKUP($B33,$E$7:$AE$16,7+16)+1)*Z33),)</f>
        <v>0</v>
      </c>
      <c r="AG33" s="294">
        <f>IF(I33,((VLOOKUP($B33,$E$7:$AE$16,7+20)+1)*AA33),)</f>
        <v>0</v>
      </c>
    </row>
    <row r="34" spans="1:33" ht="15">
      <c r="A34" s="43">
        <f t="shared" si="1"/>
        <v>8</v>
      </c>
      <c r="B34" s="197">
        <v>1</v>
      </c>
      <c r="C34" s="288" t="s">
        <v>151</v>
      </c>
      <c r="D34" s="293">
        <v>256.3006220521292</v>
      </c>
      <c r="E34" s="293">
        <v>349.8743055243375</v>
      </c>
      <c r="F34" s="284"/>
      <c r="G34" s="293">
        <v>80</v>
      </c>
      <c r="H34" s="284"/>
      <c r="I34" s="294"/>
      <c r="J34" s="293">
        <f>IF(D34,((VLOOKUP($B34,$E$7:$AE$16,4)+1)*D34),)</f>
        <v>256.3006220521292</v>
      </c>
      <c r="K34" s="283">
        <f>IF(E34,((VLOOKUP($B34,$E$7:$AE$16,8)+1)*E34),)</f>
        <v>349.8743055243375</v>
      </c>
      <c r="L34" s="284">
        <f>IF(F34,((VLOOKUP($B34,$E$7:$AE$16,12)+1)*F34),)</f>
        <v>0</v>
      </c>
      <c r="M34" s="285">
        <f>IF(G34,((VLOOKUP($B34,$E$7:$AE$16,16)+1)*G34),)</f>
        <v>80</v>
      </c>
      <c r="N34" s="284">
        <f>IF(H34,((VLOOKUP($B34,$E$7:$AE$16,20)+1)*H34),)</f>
        <v>0</v>
      </c>
      <c r="O34" s="294">
        <f>IF(I34,((VLOOKUP($B34,$E$7:$AE$16,24)+1)*I34),)</f>
        <v>0</v>
      </c>
      <c r="P34" s="293">
        <f>IF(D34,((VLOOKUP($B34,$E$7:$AE$16,5)+1)*J34),)</f>
        <v>256.3006220521292</v>
      </c>
      <c r="Q34" s="283">
        <f>IF(E34,((VLOOKUP($B34,$E$7:$AE$16,5+4)+1)*K34),)</f>
        <v>349.8743055243375</v>
      </c>
      <c r="R34" s="284">
        <f>IF(F34,((VLOOKUP($B34,$E$7:$AE$16,5+8)+1)*L34),)</f>
        <v>0</v>
      </c>
      <c r="S34" s="285">
        <f>IF(G34,((VLOOKUP($B34,$E$7:$AE$16,5+12)+1)*M34),)</f>
        <v>80</v>
      </c>
      <c r="T34" s="284">
        <f>IF(H34,((VLOOKUP($B34,$E$7:$AE$16,5+16)+1)*N34),)</f>
        <v>0</v>
      </c>
      <c r="U34" s="294">
        <f>IF(I34,((VLOOKUP($B34,$E$7:$AE$16,5+20)+1)*O34),)</f>
        <v>0</v>
      </c>
      <c r="V34" s="293">
        <f>IF(D34,((VLOOKUP($B34,$E$7:$AE$16,6)+1)*P34),)</f>
        <v>256.3006220521292</v>
      </c>
      <c r="W34" s="283">
        <f>IF(E34,((VLOOKUP($B34,$E$7:$AE$16,6+4)+1)*Q34),)</f>
        <v>349.8743055243375</v>
      </c>
      <c r="X34" s="284">
        <f>IF(F34,((VLOOKUP($B34,$E$7:$AE$16,6+8)+1)*R34),)</f>
        <v>0</v>
      </c>
      <c r="Y34" s="285">
        <f>IF(G34,((VLOOKUP($B34,$E$7:$AE$16,6+12)+1)*S34),)</f>
        <v>80</v>
      </c>
      <c r="Z34" s="284">
        <f>IF(H34,((VLOOKUP($B34,$E$7:$AE$16,6+16)+1)*T34),)</f>
        <v>0</v>
      </c>
      <c r="AA34" s="294">
        <f>IF(I34,((VLOOKUP($B34,$E$7:$AE$16,6+20)+1)*U34),)</f>
        <v>0</v>
      </c>
      <c r="AB34" s="293">
        <f>IF(D34,((VLOOKUP($B34,$E$7:$AE$16,7)+1)*V34),)</f>
        <v>256.3006220521292</v>
      </c>
      <c r="AC34" s="283">
        <f>IF(E34,((VLOOKUP($B34,$E$7:$AE$16,7+4)+1)*W34),)</f>
        <v>349.8743055243375</v>
      </c>
      <c r="AD34" s="284">
        <f>IF(F34,((VLOOKUP($B34,$E$7:$AE$16,7+8)+1)*X34),)</f>
        <v>0</v>
      </c>
      <c r="AE34" s="285">
        <f>IF(G34,((VLOOKUP($B34,$E$7:$AE$16,7+12)+1)*Y34),)</f>
        <v>80</v>
      </c>
      <c r="AF34" s="284">
        <f>IF(H34,((VLOOKUP($B34,$E$7:$AE$16,7+16)+1)*Z34),)</f>
        <v>0</v>
      </c>
      <c r="AG34" s="294">
        <f>IF(I34,((VLOOKUP($B34,$E$7:$AE$16,7+20)+1)*AA34),)</f>
        <v>0</v>
      </c>
    </row>
    <row r="35" spans="1:33" ht="15">
      <c r="A35" s="43">
        <f t="shared" si="1"/>
        <v>9</v>
      </c>
      <c r="B35" s="197"/>
      <c r="C35" s="287" t="s">
        <v>152</v>
      </c>
      <c r="D35" s="291"/>
      <c r="E35" s="282"/>
      <c r="F35" s="282"/>
      <c r="G35" s="282"/>
      <c r="H35" s="282"/>
      <c r="I35" s="292"/>
      <c r="J35" s="291"/>
      <c r="K35" s="282"/>
      <c r="L35" s="282"/>
      <c r="M35" s="282"/>
      <c r="N35" s="282"/>
      <c r="O35" s="292"/>
      <c r="P35" s="291"/>
      <c r="Q35" s="282"/>
      <c r="R35" s="282"/>
      <c r="S35" s="282"/>
      <c r="T35" s="282"/>
      <c r="U35" s="292"/>
      <c r="V35" s="291"/>
      <c r="W35" s="282"/>
      <c r="X35" s="282"/>
      <c r="Y35" s="282"/>
      <c r="Z35" s="282"/>
      <c r="AA35" s="292"/>
      <c r="AB35" s="291"/>
      <c r="AC35" s="282"/>
      <c r="AD35" s="282"/>
      <c r="AE35" s="282"/>
      <c r="AF35" s="282"/>
      <c r="AG35" s="292"/>
    </row>
    <row r="36" spans="1:33" ht="15">
      <c r="A36" s="43">
        <f t="shared" si="1"/>
        <v>10</v>
      </c>
      <c r="B36" s="197">
        <v>1</v>
      </c>
      <c r="C36" s="288" t="s">
        <v>129</v>
      </c>
      <c r="D36" s="293">
        <v>3613.1440975729997</v>
      </c>
      <c r="E36" s="284"/>
      <c r="F36" s="284"/>
      <c r="G36" s="293">
        <v>0</v>
      </c>
      <c r="H36" s="284"/>
      <c r="I36" s="294"/>
      <c r="J36" s="293">
        <f>IF(D36,((VLOOKUP($B36,$E$7:$AE$16,4)+1)*D36),)</f>
        <v>3613.1440975729997</v>
      </c>
      <c r="K36" s="284">
        <f>IF(E36,((VLOOKUP($B36,$E$7:$AE$16,8)+1)*E36),)</f>
        <v>0</v>
      </c>
      <c r="L36" s="284">
        <f>IF(F36,((VLOOKUP($B36,$E$7:$AE$16,12)+1)*F36),)</f>
        <v>0</v>
      </c>
      <c r="M36" s="285">
        <f>IF(G36,((VLOOKUP($B36,$E$7:$AE$16,16)+1)*G36),)</f>
        <v>0</v>
      </c>
      <c r="N36" s="284">
        <f>IF(H36,((VLOOKUP($B36,$E$7:$AE$16,20)+1)*H36),)</f>
        <v>0</v>
      </c>
      <c r="O36" s="294">
        <f>IF(I36,((VLOOKUP($B36,$E$7:$AE$16,24)+1)*I36),)</f>
        <v>0</v>
      </c>
      <c r="P36" s="293">
        <f>IF(D36,((VLOOKUP($B36,$E$7:$AE$16,5)+1)*J36),)</f>
        <v>3613.1440975729997</v>
      </c>
      <c r="Q36" s="284">
        <f>IF(E36,((VLOOKUP($B36,$E$7:$AE$16,5+4)+1)*K36),)</f>
        <v>0</v>
      </c>
      <c r="R36" s="284">
        <f>IF(F36,((VLOOKUP($B36,$E$7:$AE$16,5+8)+1)*L36),)</f>
        <v>0</v>
      </c>
      <c r="S36" s="285">
        <f>IF(G36,((VLOOKUP($B36,$E$7:$AE$16,5+12)+1)*M36),)</f>
        <v>0</v>
      </c>
      <c r="T36" s="284">
        <f>IF(H36,((VLOOKUP($B36,$E$7:$AE$16,5+16)+1)*N36),)</f>
        <v>0</v>
      </c>
      <c r="U36" s="294">
        <f>IF(I36,((VLOOKUP($B36,$E$7:$AE$16,5+20)+1)*O36),)</f>
        <v>0</v>
      </c>
      <c r="V36" s="293">
        <f>IF(D36,((VLOOKUP($B36,$E$7:$AE$16,6)+1)*P36),)</f>
        <v>3613.1440975729997</v>
      </c>
      <c r="W36" s="284">
        <f>IF(E36,((VLOOKUP($B36,$E$7:$AE$16,6+4)+1)*Q36),)</f>
        <v>0</v>
      </c>
      <c r="X36" s="284">
        <f>IF(F36,((VLOOKUP($B36,$E$7:$AE$16,6+8)+1)*R36),)</f>
        <v>0</v>
      </c>
      <c r="Y36" s="285">
        <f>IF(G36,((VLOOKUP($B36,$E$7:$AE$16,6+12)+1)*S36),)</f>
        <v>0</v>
      </c>
      <c r="Z36" s="284">
        <f>IF(H36,((VLOOKUP($B36,$E$7:$AE$16,6+16)+1)*T36),)</f>
        <v>0</v>
      </c>
      <c r="AA36" s="294">
        <f>IF(I36,((VLOOKUP($B36,$E$7:$AE$16,6+20)+1)*U36),)</f>
        <v>0</v>
      </c>
      <c r="AB36" s="293">
        <f>IF(D36,((VLOOKUP($B36,$E$7:$AE$16,7)+1)*V36),)</f>
        <v>3613.1440975729997</v>
      </c>
      <c r="AC36" s="284">
        <f>IF(E36,((VLOOKUP($B36,$E$7:$AE$16,7+4)+1)*W36),)</f>
        <v>0</v>
      </c>
      <c r="AD36" s="284">
        <f>IF(F36,((VLOOKUP($B36,$E$7:$AE$16,7+8)+1)*X36),)</f>
        <v>0</v>
      </c>
      <c r="AE36" s="285">
        <f>IF(G36,((VLOOKUP($B36,$E$7:$AE$16,7+12)+1)*Y36),)</f>
        <v>0</v>
      </c>
      <c r="AF36" s="284">
        <f>IF(H36,((VLOOKUP($B36,$E$7:$AE$16,7+16)+1)*Z36),)</f>
        <v>0</v>
      </c>
      <c r="AG36" s="294">
        <f>IF(I36,((VLOOKUP($B36,$E$7:$AE$16,7+20)+1)*AA36),)</f>
        <v>0</v>
      </c>
    </row>
    <row r="37" spans="1:33" ht="15">
      <c r="A37" s="43">
        <f t="shared" si="1"/>
        <v>11</v>
      </c>
      <c r="B37" s="197">
        <v>1</v>
      </c>
      <c r="C37" s="288" t="s">
        <v>153</v>
      </c>
      <c r="D37" s="293">
        <v>0</v>
      </c>
      <c r="E37" s="284"/>
      <c r="F37" s="284"/>
      <c r="G37" s="293">
        <v>0</v>
      </c>
      <c r="H37" s="284"/>
      <c r="I37" s="294"/>
      <c r="J37" s="293">
        <f>IF(D37,((VLOOKUP($B37,$E$7:$AE$16,4)+1)*D37),)</f>
        <v>0</v>
      </c>
      <c r="K37" s="284">
        <f>IF(E37,((VLOOKUP($B37,$E$7:$AE$16,8)+1)*E37),)</f>
        <v>0</v>
      </c>
      <c r="L37" s="284">
        <f>IF(F37,((VLOOKUP($B37,$E$7:$AE$16,12)+1)*F37),)</f>
        <v>0</v>
      </c>
      <c r="M37" s="285">
        <f>IF(G37,((VLOOKUP($B37,$E$7:$AE$16,16)+1)*G37),)</f>
        <v>0</v>
      </c>
      <c r="N37" s="284">
        <f>IF(H37,((VLOOKUP($B37,$E$7:$AE$16,20)+1)*H37),)</f>
        <v>0</v>
      </c>
      <c r="O37" s="294">
        <f>IF(I37,((VLOOKUP($B37,$E$7:$AE$16,24)+1)*I37),)</f>
        <v>0</v>
      </c>
      <c r="P37" s="293">
        <f>IF(D37,((VLOOKUP($B37,$E$7:$AE$16,5)+1)*J37),)</f>
        <v>0</v>
      </c>
      <c r="Q37" s="284">
        <f>IF(E37,((VLOOKUP($B37,$E$7:$AE$16,5+4)+1)*K37),)</f>
        <v>0</v>
      </c>
      <c r="R37" s="284">
        <f>IF(F37,((VLOOKUP($B37,$E$7:$AE$16,5+8)+1)*L37),)</f>
        <v>0</v>
      </c>
      <c r="S37" s="285">
        <f>IF(G37,((VLOOKUP($B37,$E$7:$AE$16,5+12)+1)*M37),)</f>
        <v>0</v>
      </c>
      <c r="T37" s="284">
        <f>IF(H37,((VLOOKUP($B37,$E$7:$AE$16,5+16)+1)*N37),)</f>
        <v>0</v>
      </c>
      <c r="U37" s="294">
        <f>IF(I37,((VLOOKUP($B37,$E$7:$AE$16,5+20)+1)*O37),)</f>
        <v>0</v>
      </c>
      <c r="V37" s="293">
        <f>IF(D37,((VLOOKUP($B37,$E$7:$AE$16,6)+1)*P37),)</f>
        <v>0</v>
      </c>
      <c r="W37" s="284">
        <f>IF(E37,((VLOOKUP($B37,$E$7:$AE$16,6+4)+1)*Q37),)</f>
        <v>0</v>
      </c>
      <c r="X37" s="284">
        <f>IF(F37,((VLOOKUP($B37,$E$7:$AE$16,6+8)+1)*R37),)</f>
        <v>0</v>
      </c>
      <c r="Y37" s="285">
        <f>IF(G37,((VLOOKUP($B37,$E$7:$AE$16,6+12)+1)*S37),)</f>
        <v>0</v>
      </c>
      <c r="Z37" s="284">
        <f>IF(H37,((VLOOKUP($B37,$E$7:$AE$16,6+16)+1)*T37),)</f>
        <v>0</v>
      </c>
      <c r="AA37" s="294">
        <f>IF(I37,((VLOOKUP($B37,$E$7:$AE$16,6+20)+1)*U37),)</f>
        <v>0</v>
      </c>
      <c r="AB37" s="293">
        <f>IF(D37,((VLOOKUP($B37,$E$7:$AE$16,7)+1)*V37),)</f>
        <v>0</v>
      </c>
      <c r="AC37" s="284">
        <f>IF(E37,((VLOOKUP($B37,$E$7:$AE$16,7+4)+1)*W37),)</f>
        <v>0</v>
      </c>
      <c r="AD37" s="284">
        <f>IF(F37,((VLOOKUP($B37,$E$7:$AE$16,7+8)+1)*X37),)</f>
        <v>0</v>
      </c>
      <c r="AE37" s="285">
        <f>IF(G37,((VLOOKUP($B37,$E$7:$AE$16,7+12)+1)*Y37),)</f>
        <v>0</v>
      </c>
      <c r="AF37" s="284">
        <f>IF(H37,((VLOOKUP($B37,$E$7:$AE$16,7+16)+1)*Z37),)</f>
        <v>0</v>
      </c>
      <c r="AG37" s="294">
        <f>IF(I37,((VLOOKUP($B37,$E$7:$AE$16,7+20)+1)*AA37),)</f>
        <v>0</v>
      </c>
    </row>
    <row r="38" spans="1:33" ht="15">
      <c r="A38" s="43">
        <f t="shared" si="1"/>
        <v>12</v>
      </c>
      <c r="B38" s="197">
        <v>1</v>
      </c>
      <c r="C38" s="288" t="s">
        <v>154</v>
      </c>
      <c r="D38" s="293">
        <v>0</v>
      </c>
      <c r="E38" s="284"/>
      <c r="F38" s="284"/>
      <c r="G38" s="293">
        <v>0</v>
      </c>
      <c r="H38" s="284"/>
      <c r="I38" s="294"/>
      <c r="J38" s="293">
        <f>IF(D38,((VLOOKUP($B38,$E$7:$AE$16,4)+1)*D38),)</f>
        <v>0</v>
      </c>
      <c r="K38" s="284">
        <f>IF(E38,((VLOOKUP($B38,$E$7:$AE$16,8)+1)*E38),)</f>
        <v>0</v>
      </c>
      <c r="L38" s="284">
        <f>IF(F38,((VLOOKUP($B38,$E$7:$AE$16,12)+1)*F38),)</f>
        <v>0</v>
      </c>
      <c r="M38" s="285">
        <f>IF(G38,((VLOOKUP($B38,$E$7:$AE$16,16)+1)*G38),)</f>
        <v>0</v>
      </c>
      <c r="N38" s="284">
        <f>IF(H38,((VLOOKUP($B38,$E$7:$AE$16,20)+1)*H38),)</f>
        <v>0</v>
      </c>
      <c r="O38" s="294">
        <f>IF(I38,((VLOOKUP($B38,$E$7:$AE$16,24)+1)*I38),)</f>
        <v>0</v>
      </c>
      <c r="P38" s="293">
        <f>IF(D38,((VLOOKUP($B38,$E$7:$AE$16,5)+1)*J38),)</f>
        <v>0</v>
      </c>
      <c r="Q38" s="284">
        <f>IF(E38,((VLOOKUP($B38,$E$7:$AE$16,5+4)+1)*K38),)</f>
        <v>0</v>
      </c>
      <c r="R38" s="284">
        <f>IF(F38,((VLOOKUP($B38,$E$7:$AE$16,5+8)+1)*L38),)</f>
        <v>0</v>
      </c>
      <c r="S38" s="285">
        <f>IF(G38,((VLOOKUP($B38,$E$7:$AE$16,5+12)+1)*M38),)</f>
        <v>0</v>
      </c>
      <c r="T38" s="284">
        <f>IF(H38,((VLOOKUP($B38,$E$7:$AE$16,5+16)+1)*N38),)</f>
        <v>0</v>
      </c>
      <c r="U38" s="294">
        <f>IF(I38,((VLOOKUP($B38,$E$7:$AE$16,5+20)+1)*O38),)</f>
        <v>0</v>
      </c>
      <c r="V38" s="293">
        <f>IF(D38,((VLOOKUP($B38,$E$7:$AE$16,6)+1)*P38),)</f>
        <v>0</v>
      </c>
      <c r="W38" s="284">
        <f>IF(E38,((VLOOKUP($B38,$E$7:$AE$16,6+4)+1)*Q38),)</f>
        <v>0</v>
      </c>
      <c r="X38" s="284">
        <f>IF(F38,((VLOOKUP($B38,$E$7:$AE$16,6+8)+1)*R38),)</f>
        <v>0</v>
      </c>
      <c r="Y38" s="285">
        <f>IF(G38,((VLOOKUP($B38,$E$7:$AE$16,6+12)+1)*S38),)</f>
        <v>0</v>
      </c>
      <c r="Z38" s="284">
        <f>IF(H38,((VLOOKUP($B38,$E$7:$AE$16,6+16)+1)*T38),)</f>
        <v>0</v>
      </c>
      <c r="AA38" s="294">
        <f>IF(I38,((VLOOKUP($B38,$E$7:$AE$16,6+20)+1)*U38),)</f>
        <v>0</v>
      </c>
      <c r="AB38" s="293">
        <f>IF(D38,((VLOOKUP($B38,$E$7:$AE$16,7)+1)*V38),)</f>
        <v>0</v>
      </c>
      <c r="AC38" s="284">
        <f>IF(E38,((VLOOKUP($B38,$E$7:$AE$16,7+4)+1)*W38),)</f>
        <v>0</v>
      </c>
      <c r="AD38" s="284">
        <f>IF(F38,((VLOOKUP($B38,$E$7:$AE$16,7+8)+1)*X38),)</f>
        <v>0</v>
      </c>
      <c r="AE38" s="285">
        <f>IF(G38,((VLOOKUP($B38,$E$7:$AE$16,7+12)+1)*Y38),)</f>
        <v>0</v>
      </c>
      <c r="AF38" s="284">
        <f>IF(H38,((VLOOKUP($B38,$E$7:$AE$16,7+16)+1)*Z38),)</f>
        <v>0</v>
      </c>
      <c r="AG38" s="294">
        <f>IF(I38,((VLOOKUP($B38,$E$7:$AE$16,7+20)+1)*AA38),)</f>
        <v>0</v>
      </c>
    </row>
    <row r="39" spans="1:33" ht="15">
      <c r="A39" s="43">
        <f t="shared" si="1"/>
        <v>13</v>
      </c>
      <c r="B39" s="197"/>
      <c r="C39" s="287" t="s">
        <v>155</v>
      </c>
      <c r="D39" s="291"/>
      <c r="E39" s="282"/>
      <c r="F39" s="282"/>
      <c r="G39" s="282"/>
      <c r="H39" s="282"/>
      <c r="I39" s="292"/>
      <c r="J39" s="291"/>
      <c r="K39" s="282"/>
      <c r="L39" s="282"/>
      <c r="M39" s="282"/>
      <c r="N39" s="282"/>
      <c r="O39" s="292"/>
      <c r="P39" s="291"/>
      <c r="Q39" s="282"/>
      <c r="R39" s="282"/>
      <c r="S39" s="282"/>
      <c r="T39" s="282"/>
      <c r="U39" s="292"/>
      <c r="V39" s="291"/>
      <c r="W39" s="282"/>
      <c r="X39" s="282"/>
      <c r="Y39" s="282"/>
      <c r="Z39" s="282"/>
      <c r="AA39" s="292"/>
      <c r="AB39" s="291"/>
      <c r="AC39" s="282"/>
      <c r="AD39" s="282"/>
      <c r="AE39" s="282"/>
      <c r="AF39" s="282"/>
      <c r="AG39" s="292"/>
    </row>
    <row r="40" spans="1:33" ht="15">
      <c r="A40" s="43">
        <f t="shared" si="1"/>
        <v>14</v>
      </c>
      <c r="B40" s="197">
        <v>1</v>
      </c>
      <c r="C40" s="288" t="s">
        <v>94</v>
      </c>
      <c r="D40" s="293">
        <v>823197.95863007847</v>
      </c>
      <c r="E40" s="284"/>
      <c r="F40" s="284"/>
      <c r="G40" s="293">
        <v>63787</v>
      </c>
      <c r="H40" s="284"/>
      <c r="I40" s="294"/>
      <c r="J40" s="293">
        <f>IF(D40,((VLOOKUP($B40,$E$7:$AE$16,4)+1)*D40),)</f>
        <v>823197.95863007847</v>
      </c>
      <c r="K40" s="284">
        <f>IF(E40,((VLOOKUP($B40,$E$7:$AE$16,8)+1)*E40),)</f>
        <v>0</v>
      </c>
      <c r="L40" s="284">
        <f>IF(F40,((VLOOKUP($B40,$E$7:$AE$16,12)+1)*F40),)</f>
        <v>0</v>
      </c>
      <c r="M40" s="285">
        <f>IF(G40,((VLOOKUP($B40,$E$7:$AE$16,16)+1)*G40),)</f>
        <v>63787</v>
      </c>
      <c r="N40" s="284">
        <f>IF(H40,((VLOOKUP($B40,$E$7:$AE$16,20)+1)*H40),)</f>
        <v>0</v>
      </c>
      <c r="O40" s="294">
        <f>IF(I40,((VLOOKUP($B40,$E$7:$AE$16,24)+1)*I40),)</f>
        <v>0</v>
      </c>
      <c r="P40" s="293">
        <f>IF(D40,((VLOOKUP($B40,$E$7:$AE$16,5)+1)*J40),)</f>
        <v>823197.95863007847</v>
      </c>
      <c r="Q40" s="284">
        <f>IF(E40,((VLOOKUP($B40,$E$7:$AE$16,5+4)+1)*K40),)</f>
        <v>0</v>
      </c>
      <c r="R40" s="284">
        <f>IF(F40,((VLOOKUP($B40,$E$7:$AE$16,5+8)+1)*L40),)</f>
        <v>0</v>
      </c>
      <c r="S40" s="285">
        <f>IF(G40,((VLOOKUP($B40,$E$7:$AE$16,5+12)+1)*M40),)</f>
        <v>63787</v>
      </c>
      <c r="T40" s="284">
        <f>IF(H40,((VLOOKUP($B40,$E$7:$AE$16,5+16)+1)*N40),)</f>
        <v>0</v>
      </c>
      <c r="U40" s="294">
        <f>IF(I40,((VLOOKUP($B40,$E$7:$AE$16,5+20)+1)*O40),)</f>
        <v>0</v>
      </c>
      <c r="V40" s="293">
        <f>IF(D40,((VLOOKUP($B40,$E$7:$AE$16,6)+1)*P40),)</f>
        <v>823197.95863007847</v>
      </c>
      <c r="W40" s="284">
        <f>IF(E40,((VLOOKUP($B40,$E$7:$AE$16,6+4)+1)*Q40),)</f>
        <v>0</v>
      </c>
      <c r="X40" s="284">
        <f>IF(F40,((VLOOKUP($B40,$E$7:$AE$16,6+8)+1)*R40),)</f>
        <v>0</v>
      </c>
      <c r="Y40" s="285">
        <f>IF(G40,((VLOOKUP($B40,$E$7:$AE$16,6+12)+1)*S40),)</f>
        <v>63787</v>
      </c>
      <c r="Z40" s="284">
        <f>IF(H40,((VLOOKUP($B40,$E$7:$AE$16,6+16)+1)*T40),)</f>
        <v>0</v>
      </c>
      <c r="AA40" s="294">
        <f>IF(I40,((VLOOKUP($B40,$E$7:$AE$16,6+20)+1)*U40),)</f>
        <v>0</v>
      </c>
      <c r="AB40" s="293">
        <f>IF(D40,((VLOOKUP($B40,$E$7:$AE$16,7)+1)*V40),)</f>
        <v>823197.95863007847</v>
      </c>
      <c r="AC40" s="284">
        <f>IF(E40,((VLOOKUP($B40,$E$7:$AE$16,7+4)+1)*W40),)</f>
        <v>0</v>
      </c>
      <c r="AD40" s="284">
        <f>IF(F40,((VLOOKUP($B40,$E$7:$AE$16,7+8)+1)*X40),)</f>
        <v>0</v>
      </c>
      <c r="AE40" s="285">
        <f>IF(G40,((VLOOKUP($B40,$E$7:$AE$16,7+12)+1)*Y40),)</f>
        <v>63787</v>
      </c>
      <c r="AF40" s="284">
        <f>IF(H40,((VLOOKUP($B40,$E$7:$AE$16,7+16)+1)*Z40),)</f>
        <v>0</v>
      </c>
      <c r="AG40" s="294">
        <f>IF(I40,((VLOOKUP($B40,$E$7:$AE$16,7+20)+1)*AA40),)</f>
        <v>0</v>
      </c>
    </row>
    <row r="41" spans="1:33" ht="15">
      <c r="A41" s="43">
        <f t="shared" si="1"/>
        <v>15</v>
      </c>
      <c r="B41" s="197">
        <v>1</v>
      </c>
      <c r="C41" s="288" t="s">
        <v>156</v>
      </c>
      <c r="D41" s="293">
        <v>56.743614639178105</v>
      </c>
      <c r="E41" s="284"/>
      <c r="F41" s="284"/>
      <c r="G41" s="293">
        <v>4</v>
      </c>
      <c r="H41" s="284"/>
      <c r="I41" s="294"/>
      <c r="J41" s="293">
        <f>IF(D41,((VLOOKUP($B41,$E$7:$AE$16,4)+1)*D41),)</f>
        <v>56.743614639178105</v>
      </c>
      <c r="K41" s="284">
        <f>IF(E41,((VLOOKUP($B41,$E$7:$AE$16,8)+1)*E41),)</f>
        <v>0</v>
      </c>
      <c r="L41" s="284">
        <f>IF(F41,((VLOOKUP($B41,$E$7:$AE$16,12)+1)*F41),)</f>
        <v>0</v>
      </c>
      <c r="M41" s="285">
        <f>IF(G41,((VLOOKUP($B41,$E$7:$AE$16,16)+1)*G41),)</f>
        <v>4</v>
      </c>
      <c r="N41" s="284">
        <f>IF(H41,((VLOOKUP($B41,$E$7:$AE$16,20)+1)*H41),)</f>
        <v>0</v>
      </c>
      <c r="O41" s="294">
        <f>IF(I41,((VLOOKUP($B41,$E$7:$AE$16,24)+1)*I41),)</f>
        <v>0</v>
      </c>
      <c r="P41" s="293">
        <f>IF(D41,((VLOOKUP($B41,$E$7:$AE$16,5)+1)*J41),)</f>
        <v>56.743614639178105</v>
      </c>
      <c r="Q41" s="284">
        <f>IF(E41,((VLOOKUP($B41,$E$7:$AE$16,5+4)+1)*K41),)</f>
        <v>0</v>
      </c>
      <c r="R41" s="284">
        <f>IF(F41,((VLOOKUP($B41,$E$7:$AE$16,5+8)+1)*L41),)</f>
        <v>0</v>
      </c>
      <c r="S41" s="285">
        <f>IF(G41,((VLOOKUP($B41,$E$7:$AE$16,5+12)+1)*M41),)</f>
        <v>4</v>
      </c>
      <c r="T41" s="284">
        <f>IF(H41,((VLOOKUP($B41,$E$7:$AE$16,5+16)+1)*N41),)</f>
        <v>0</v>
      </c>
      <c r="U41" s="294">
        <f>IF(I41,((VLOOKUP($B41,$E$7:$AE$16,5+20)+1)*O41),)</f>
        <v>0</v>
      </c>
      <c r="V41" s="293">
        <f>IF(D41,((VLOOKUP($B41,$E$7:$AE$16,6)+1)*P41),)</f>
        <v>56.743614639178105</v>
      </c>
      <c r="W41" s="284">
        <f>IF(E41,((VLOOKUP($B41,$E$7:$AE$16,6+4)+1)*Q41),)</f>
        <v>0</v>
      </c>
      <c r="X41" s="284">
        <f>IF(F41,((VLOOKUP($B41,$E$7:$AE$16,6+8)+1)*R41),)</f>
        <v>0</v>
      </c>
      <c r="Y41" s="285">
        <f>IF(G41,((VLOOKUP($B41,$E$7:$AE$16,6+12)+1)*S41),)</f>
        <v>4</v>
      </c>
      <c r="Z41" s="284">
        <f>IF(H41,((VLOOKUP($B41,$E$7:$AE$16,6+16)+1)*T41),)</f>
        <v>0</v>
      </c>
      <c r="AA41" s="294">
        <f>IF(I41,((VLOOKUP($B41,$E$7:$AE$16,6+20)+1)*U41),)</f>
        <v>0</v>
      </c>
      <c r="AB41" s="293">
        <f>IF(D41,((VLOOKUP($B41,$E$7:$AE$16,7)+1)*V41),)</f>
        <v>56.743614639178105</v>
      </c>
      <c r="AC41" s="284">
        <f>IF(E41,((VLOOKUP($B41,$E$7:$AE$16,7+4)+1)*W41),)</f>
        <v>0</v>
      </c>
      <c r="AD41" s="284">
        <f>IF(F41,((VLOOKUP($B41,$E$7:$AE$16,7+8)+1)*X41),)</f>
        <v>0</v>
      </c>
      <c r="AE41" s="285">
        <f>IF(G41,((VLOOKUP($B41,$E$7:$AE$16,7+12)+1)*Y41),)</f>
        <v>4</v>
      </c>
      <c r="AF41" s="284">
        <f>IF(H41,((VLOOKUP($B41,$E$7:$AE$16,7+16)+1)*Z41),)</f>
        <v>0</v>
      </c>
      <c r="AG41" s="294">
        <f>IF(I41,((VLOOKUP($B41,$E$7:$AE$16,7+20)+1)*AA41),)</f>
        <v>0</v>
      </c>
    </row>
    <row r="42" spans="1:33" ht="15">
      <c r="A42" s="43">
        <f t="shared" si="1"/>
        <v>16</v>
      </c>
      <c r="B42" s="197">
        <v>1</v>
      </c>
      <c r="C42" s="288" t="s">
        <v>157</v>
      </c>
      <c r="D42" s="293">
        <v>2717.0896874333912</v>
      </c>
      <c r="E42" s="284"/>
      <c r="F42" s="284"/>
      <c r="G42" s="293">
        <v>110</v>
      </c>
      <c r="H42" s="284"/>
      <c r="I42" s="294"/>
      <c r="J42" s="293">
        <f>IF(D42,((VLOOKUP($B42,$E$7:$AE$16,4)+1)*D42),)</f>
        <v>2717.0896874333912</v>
      </c>
      <c r="K42" s="284">
        <f>IF(E42,((VLOOKUP($B42,$E$7:$AE$16,8)+1)*E42),)</f>
        <v>0</v>
      </c>
      <c r="L42" s="284">
        <f>IF(F42,((VLOOKUP($B42,$E$7:$AE$16,12)+1)*F42),)</f>
        <v>0</v>
      </c>
      <c r="M42" s="285">
        <f>IF(G42,((VLOOKUP($B42,$E$7:$AE$16,16)+1)*G42),)</f>
        <v>110</v>
      </c>
      <c r="N42" s="284">
        <f>IF(H42,((VLOOKUP($B42,$E$7:$AE$16,20)+1)*H42),)</f>
        <v>0</v>
      </c>
      <c r="O42" s="294">
        <f>IF(I42,((VLOOKUP($B42,$E$7:$AE$16,24)+1)*I42),)</f>
        <v>0</v>
      </c>
      <c r="P42" s="293">
        <f>IF(D42,((VLOOKUP($B42,$E$7:$AE$16,5)+1)*J42),)</f>
        <v>2717.0896874333912</v>
      </c>
      <c r="Q42" s="284">
        <f>IF(E42,((VLOOKUP($B42,$E$7:$AE$16,5+4)+1)*K42),)</f>
        <v>0</v>
      </c>
      <c r="R42" s="284">
        <f>IF(F42,((VLOOKUP($B42,$E$7:$AE$16,5+8)+1)*L42),)</f>
        <v>0</v>
      </c>
      <c r="S42" s="285">
        <f>IF(G42,((VLOOKUP($B42,$E$7:$AE$16,5+12)+1)*M42),)</f>
        <v>110</v>
      </c>
      <c r="T42" s="284">
        <f>IF(H42,((VLOOKUP($B42,$E$7:$AE$16,5+16)+1)*N42),)</f>
        <v>0</v>
      </c>
      <c r="U42" s="294">
        <f>IF(I42,((VLOOKUP($B42,$E$7:$AE$16,5+20)+1)*O42),)</f>
        <v>0</v>
      </c>
      <c r="V42" s="293">
        <f>IF(D42,((VLOOKUP($B42,$E$7:$AE$16,6)+1)*P42),)</f>
        <v>2717.0896874333912</v>
      </c>
      <c r="W42" s="284">
        <f>IF(E42,((VLOOKUP($B42,$E$7:$AE$16,6+4)+1)*Q42),)</f>
        <v>0</v>
      </c>
      <c r="X42" s="284">
        <f>IF(F42,((VLOOKUP($B42,$E$7:$AE$16,6+8)+1)*R42),)</f>
        <v>0</v>
      </c>
      <c r="Y42" s="285">
        <f>IF(G42,((VLOOKUP($B42,$E$7:$AE$16,6+12)+1)*S42),)</f>
        <v>110</v>
      </c>
      <c r="Z42" s="284">
        <f>IF(H42,((VLOOKUP($B42,$E$7:$AE$16,6+16)+1)*T42),)</f>
        <v>0</v>
      </c>
      <c r="AA42" s="294">
        <f>IF(I42,((VLOOKUP($B42,$E$7:$AE$16,6+20)+1)*U42),)</f>
        <v>0</v>
      </c>
      <c r="AB42" s="293">
        <f>IF(D42,((VLOOKUP($B42,$E$7:$AE$16,7)+1)*V42),)</f>
        <v>2717.0896874333912</v>
      </c>
      <c r="AC42" s="284">
        <f>IF(E42,((VLOOKUP($B42,$E$7:$AE$16,7+4)+1)*W42),)</f>
        <v>0</v>
      </c>
      <c r="AD42" s="284">
        <f>IF(F42,((VLOOKUP($B42,$E$7:$AE$16,7+8)+1)*X42),)</f>
        <v>0</v>
      </c>
      <c r="AE42" s="285">
        <f>IF(G42,((VLOOKUP($B42,$E$7:$AE$16,7+12)+1)*Y42),)</f>
        <v>110</v>
      </c>
      <c r="AF42" s="284">
        <f>IF(H42,((VLOOKUP($B42,$E$7:$AE$16,7+16)+1)*Z42),)</f>
        <v>0</v>
      </c>
      <c r="AG42" s="294">
        <f>IF(I42,((VLOOKUP($B42,$E$7:$AE$16,7+20)+1)*AA42),)</f>
        <v>0</v>
      </c>
    </row>
    <row r="43" spans="1:33" ht="15">
      <c r="A43" s="43">
        <f t="shared" si="1"/>
        <v>17</v>
      </c>
      <c r="B43" s="197"/>
      <c r="C43" s="287" t="s">
        <v>158</v>
      </c>
      <c r="D43" s="291"/>
      <c r="E43" s="282"/>
      <c r="F43" s="282"/>
      <c r="G43" s="282"/>
      <c r="H43" s="282"/>
      <c r="I43" s="292"/>
      <c r="J43" s="291"/>
      <c r="K43" s="282"/>
      <c r="L43" s="282"/>
      <c r="M43" s="282"/>
      <c r="N43" s="282"/>
      <c r="O43" s="292"/>
      <c r="P43" s="291"/>
      <c r="Q43" s="282"/>
      <c r="R43" s="282"/>
      <c r="S43" s="282"/>
      <c r="T43" s="282"/>
      <c r="U43" s="292"/>
      <c r="V43" s="291"/>
      <c r="W43" s="282"/>
      <c r="X43" s="282"/>
      <c r="Y43" s="282"/>
      <c r="Z43" s="282"/>
      <c r="AA43" s="292"/>
      <c r="AB43" s="291"/>
      <c r="AC43" s="282"/>
      <c r="AD43" s="282"/>
      <c r="AE43" s="282"/>
      <c r="AF43" s="282"/>
      <c r="AG43" s="292"/>
    </row>
    <row r="44" spans="1:33" ht="15">
      <c r="A44" s="43">
        <f t="shared" si="1"/>
        <v>18</v>
      </c>
      <c r="B44" s="197">
        <v>1</v>
      </c>
      <c r="C44" s="288" t="s">
        <v>95</v>
      </c>
      <c r="D44" s="293">
        <v>206801.40932707267</v>
      </c>
      <c r="E44" s="293">
        <v>92825.537560705707</v>
      </c>
      <c r="F44" s="284"/>
      <c r="G44" s="293">
        <v>13441</v>
      </c>
      <c r="H44" s="284"/>
      <c r="I44" s="294"/>
      <c r="J44" s="293">
        <f t="shared" ref="J44:J73" si="2">IF(D44,((VLOOKUP($B44,$E$7:$AE$16,4)+1)*D44),)</f>
        <v>206801.40932707267</v>
      </c>
      <c r="K44" s="283">
        <f t="shared" ref="K44:K73" si="3">IF(E44,((VLOOKUP($B44,$E$7:$AE$16,8)+1)*E44),)</f>
        <v>92825.537560705707</v>
      </c>
      <c r="L44" s="284">
        <f t="shared" ref="L44:L73" si="4">IF(F44,((VLOOKUP($B44,$E$7:$AE$16,12)+1)*F44),)</f>
        <v>0</v>
      </c>
      <c r="M44" s="285">
        <f t="shared" ref="M44:M73" si="5">IF(G44,((VLOOKUP($B44,$E$7:$AE$16,16)+1)*G44),)</f>
        <v>13441</v>
      </c>
      <c r="N44" s="284">
        <f t="shared" ref="N44:N73" si="6">IF(H44,((VLOOKUP($B44,$E$7:$AE$16,20)+1)*H44),)</f>
        <v>0</v>
      </c>
      <c r="O44" s="294">
        <f t="shared" ref="O44:O73" si="7">IF(I44,((VLOOKUP($B44,$E$7:$AE$16,24)+1)*I44),)</f>
        <v>0</v>
      </c>
      <c r="P44" s="293">
        <f t="shared" ref="P44:P73" si="8">IF(D44,((VLOOKUP($B44,$E$7:$AE$16,5)+1)*J44),)</f>
        <v>206801.40932707267</v>
      </c>
      <c r="Q44" s="283">
        <f t="shared" ref="Q44:Q73" si="9">IF(E44,((VLOOKUP($B44,$E$7:$AE$16,5+4)+1)*K44),)</f>
        <v>92825.537560705707</v>
      </c>
      <c r="R44" s="284">
        <f t="shared" ref="R44:R73" si="10">IF(F44,((VLOOKUP($B44,$E$7:$AE$16,5+8)+1)*L44),)</f>
        <v>0</v>
      </c>
      <c r="S44" s="285">
        <f t="shared" ref="S44:S73" si="11">IF(G44,((VLOOKUP($B44,$E$7:$AE$16,5+12)+1)*M44),)</f>
        <v>13441</v>
      </c>
      <c r="T44" s="284">
        <f t="shared" ref="T44:T73" si="12">IF(H44,((VLOOKUP($B44,$E$7:$AE$16,5+16)+1)*N44),)</f>
        <v>0</v>
      </c>
      <c r="U44" s="294">
        <f t="shared" ref="U44:U73" si="13">IF(I44,((VLOOKUP($B44,$E$7:$AE$16,5+20)+1)*O44),)</f>
        <v>0</v>
      </c>
      <c r="V44" s="293">
        <f t="shared" ref="V44:V73" si="14">IF(D44,((VLOOKUP($B44,$E$7:$AE$16,6)+1)*P44),)</f>
        <v>206801.40932707267</v>
      </c>
      <c r="W44" s="283">
        <f t="shared" ref="W44:W73" si="15">IF(E44,((VLOOKUP($B44,$E$7:$AE$16,6+4)+1)*Q44),)</f>
        <v>92825.537560705707</v>
      </c>
      <c r="X44" s="284">
        <f t="shared" ref="X44:X73" si="16">IF(F44,((VLOOKUP($B44,$E$7:$AE$16,6+8)+1)*R44),)</f>
        <v>0</v>
      </c>
      <c r="Y44" s="285">
        <f t="shared" ref="Y44:Y73" si="17">IF(G44,((VLOOKUP($B44,$E$7:$AE$16,6+12)+1)*S44),)</f>
        <v>13441</v>
      </c>
      <c r="Z44" s="284">
        <f t="shared" ref="Z44:Z73" si="18">IF(H44,((VLOOKUP($B44,$E$7:$AE$16,6+16)+1)*T44),)</f>
        <v>0</v>
      </c>
      <c r="AA44" s="294">
        <f t="shared" ref="AA44:AA73" si="19">IF(I44,((VLOOKUP($B44,$E$7:$AE$16,6+20)+1)*U44),)</f>
        <v>0</v>
      </c>
      <c r="AB44" s="293">
        <f t="shared" ref="AB44:AB73" si="20">IF(D44,((VLOOKUP($B44,$E$7:$AE$16,7)+1)*V44),)</f>
        <v>206801.40932707267</v>
      </c>
      <c r="AC44" s="283">
        <f t="shared" ref="AC44:AC73" si="21">IF(E44,((VLOOKUP($B44,$E$7:$AE$16,7+4)+1)*W44),)</f>
        <v>92825.537560705707</v>
      </c>
      <c r="AD44" s="284">
        <f t="shared" ref="AD44:AD73" si="22">IF(F44,((VLOOKUP($B44,$E$7:$AE$16,7+8)+1)*X44),)</f>
        <v>0</v>
      </c>
      <c r="AE44" s="285">
        <f t="shared" ref="AE44:AE73" si="23">IF(G44,((VLOOKUP($B44,$E$7:$AE$16,7+12)+1)*Y44),)</f>
        <v>13441</v>
      </c>
      <c r="AF44" s="284">
        <f t="shared" ref="AF44:AF73" si="24">IF(H44,((VLOOKUP($B44,$E$7:$AE$16,7+16)+1)*Z44),)</f>
        <v>0</v>
      </c>
      <c r="AG44" s="294">
        <f t="shared" ref="AG44:AG73" si="25">IF(I44,((VLOOKUP($B44,$E$7:$AE$16,7+20)+1)*AA44),)</f>
        <v>0</v>
      </c>
    </row>
    <row r="45" spans="1:33" ht="15">
      <c r="A45" s="43">
        <f t="shared" si="1"/>
        <v>19</v>
      </c>
      <c r="B45" s="197">
        <v>1</v>
      </c>
      <c r="C45" s="288" t="s">
        <v>159</v>
      </c>
      <c r="D45" s="293">
        <v>0</v>
      </c>
      <c r="E45" s="293">
        <v>0</v>
      </c>
      <c r="F45" s="284"/>
      <c r="G45" s="293">
        <v>0</v>
      </c>
      <c r="H45" s="284"/>
      <c r="I45" s="294"/>
      <c r="J45" s="293">
        <f t="shared" si="2"/>
        <v>0</v>
      </c>
      <c r="K45" s="283">
        <f t="shared" si="3"/>
        <v>0</v>
      </c>
      <c r="L45" s="284">
        <f t="shared" si="4"/>
        <v>0</v>
      </c>
      <c r="M45" s="285">
        <f t="shared" si="5"/>
        <v>0</v>
      </c>
      <c r="N45" s="284">
        <f t="shared" si="6"/>
        <v>0</v>
      </c>
      <c r="O45" s="294">
        <f t="shared" si="7"/>
        <v>0</v>
      </c>
      <c r="P45" s="293">
        <f t="shared" si="8"/>
        <v>0</v>
      </c>
      <c r="Q45" s="283">
        <f t="shared" si="9"/>
        <v>0</v>
      </c>
      <c r="R45" s="284">
        <f t="shared" si="10"/>
        <v>0</v>
      </c>
      <c r="S45" s="285">
        <f t="shared" si="11"/>
        <v>0</v>
      </c>
      <c r="T45" s="284">
        <f t="shared" si="12"/>
        <v>0</v>
      </c>
      <c r="U45" s="294">
        <f t="shared" si="13"/>
        <v>0</v>
      </c>
      <c r="V45" s="293">
        <f t="shared" si="14"/>
        <v>0</v>
      </c>
      <c r="W45" s="283">
        <f t="shared" si="15"/>
        <v>0</v>
      </c>
      <c r="X45" s="284">
        <f t="shared" si="16"/>
        <v>0</v>
      </c>
      <c r="Y45" s="285">
        <f t="shared" si="17"/>
        <v>0</v>
      </c>
      <c r="Z45" s="284">
        <f t="shared" si="18"/>
        <v>0</v>
      </c>
      <c r="AA45" s="294">
        <f t="shared" si="19"/>
        <v>0</v>
      </c>
      <c r="AB45" s="293">
        <f t="shared" si="20"/>
        <v>0</v>
      </c>
      <c r="AC45" s="283">
        <f t="shared" si="21"/>
        <v>0</v>
      </c>
      <c r="AD45" s="284">
        <f t="shared" si="22"/>
        <v>0</v>
      </c>
      <c r="AE45" s="285">
        <f t="shared" si="23"/>
        <v>0</v>
      </c>
      <c r="AF45" s="284">
        <f t="shared" si="24"/>
        <v>0</v>
      </c>
      <c r="AG45" s="294">
        <f t="shared" si="25"/>
        <v>0</v>
      </c>
    </row>
    <row r="46" spans="1:33" ht="15">
      <c r="A46" s="43">
        <f t="shared" si="1"/>
        <v>20</v>
      </c>
      <c r="B46" s="197">
        <v>1</v>
      </c>
      <c r="C46" s="288" t="s">
        <v>160</v>
      </c>
      <c r="D46" s="293">
        <v>845.42130757211385</v>
      </c>
      <c r="E46" s="293">
        <v>110.3044954465786</v>
      </c>
      <c r="F46" s="284"/>
      <c r="G46" s="293">
        <v>9</v>
      </c>
      <c r="H46" s="284"/>
      <c r="I46" s="294"/>
      <c r="J46" s="293">
        <f t="shared" si="2"/>
        <v>845.42130757211385</v>
      </c>
      <c r="K46" s="283">
        <f t="shared" si="3"/>
        <v>110.3044954465786</v>
      </c>
      <c r="L46" s="284">
        <f t="shared" si="4"/>
        <v>0</v>
      </c>
      <c r="M46" s="285">
        <f t="shared" si="5"/>
        <v>9</v>
      </c>
      <c r="N46" s="284">
        <f t="shared" si="6"/>
        <v>0</v>
      </c>
      <c r="O46" s="294">
        <f t="shared" si="7"/>
        <v>0</v>
      </c>
      <c r="P46" s="293">
        <f t="shared" si="8"/>
        <v>845.42130757211385</v>
      </c>
      <c r="Q46" s="283">
        <f t="shared" si="9"/>
        <v>110.3044954465786</v>
      </c>
      <c r="R46" s="284">
        <f t="shared" si="10"/>
        <v>0</v>
      </c>
      <c r="S46" s="285">
        <f t="shared" si="11"/>
        <v>9</v>
      </c>
      <c r="T46" s="284">
        <f t="shared" si="12"/>
        <v>0</v>
      </c>
      <c r="U46" s="294">
        <f t="shared" si="13"/>
        <v>0</v>
      </c>
      <c r="V46" s="293">
        <f t="shared" si="14"/>
        <v>845.42130757211385</v>
      </c>
      <c r="W46" s="283">
        <f t="shared" si="15"/>
        <v>110.3044954465786</v>
      </c>
      <c r="X46" s="284">
        <f t="shared" si="16"/>
        <v>0</v>
      </c>
      <c r="Y46" s="285">
        <f t="shared" si="17"/>
        <v>9</v>
      </c>
      <c r="Z46" s="284">
        <f t="shared" si="18"/>
        <v>0</v>
      </c>
      <c r="AA46" s="294">
        <f t="shared" si="19"/>
        <v>0</v>
      </c>
      <c r="AB46" s="293">
        <f t="shared" si="20"/>
        <v>845.42130757211385</v>
      </c>
      <c r="AC46" s="283">
        <f t="shared" si="21"/>
        <v>110.3044954465786</v>
      </c>
      <c r="AD46" s="284">
        <f t="shared" si="22"/>
        <v>0</v>
      </c>
      <c r="AE46" s="285">
        <f t="shared" si="23"/>
        <v>9</v>
      </c>
      <c r="AF46" s="284">
        <f t="shared" si="24"/>
        <v>0</v>
      </c>
      <c r="AG46" s="294">
        <f t="shared" si="25"/>
        <v>0</v>
      </c>
    </row>
    <row r="47" spans="1:33" ht="15">
      <c r="A47" s="43">
        <f t="shared" si="1"/>
        <v>21</v>
      </c>
      <c r="B47" s="197"/>
      <c r="C47" s="287" t="s">
        <v>161</v>
      </c>
      <c r="D47" s="291"/>
      <c r="E47" s="282"/>
      <c r="F47" s="282"/>
      <c r="G47" s="282"/>
      <c r="H47" s="282"/>
      <c r="I47" s="292"/>
      <c r="J47" s="291">
        <f t="shared" si="2"/>
        <v>0</v>
      </c>
      <c r="K47" s="282">
        <f t="shared" si="3"/>
        <v>0</v>
      </c>
      <c r="L47" s="282">
        <f t="shared" si="4"/>
        <v>0</v>
      </c>
      <c r="M47" s="282">
        <f t="shared" si="5"/>
        <v>0</v>
      </c>
      <c r="N47" s="282">
        <f t="shared" si="6"/>
        <v>0</v>
      </c>
      <c r="O47" s="292">
        <f t="shared" si="7"/>
        <v>0</v>
      </c>
      <c r="P47" s="291">
        <f t="shared" si="8"/>
        <v>0</v>
      </c>
      <c r="Q47" s="282">
        <f t="shared" si="9"/>
        <v>0</v>
      </c>
      <c r="R47" s="282">
        <f t="shared" si="10"/>
        <v>0</v>
      </c>
      <c r="S47" s="282">
        <f t="shared" si="11"/>
        <v>0</v>
      </c>
      <c r="T47" s="282">
        <f t="shared" si="12"/>
        <v>0</v>
      </c>
      <c r="U47" s="292">
        <f t="shared" si="13"/>
        <v>0</v>
      </c>
      <c r="V47" s="291">
        <f t="shared" si="14"/>
        <v>0</v>
      </c>
      <c r="W47" s="282">
        <f t="shared" si="15"/>
        <v>0</v>
      </c>
      <c r="X47" s="282">
        <f t="shared" si="16"/>
        <v>0</v>
      </c>
      <c r="Y47" s="282">
        <f t="shared" si="17"/>
        <v>0</v>
      </c>
      <c r="Z47" s="282">
        <f t="shared" si="18"/>
        <v>0</v>
      </c>
      <c r="AA47" s="292">
        <f t="shared" si="19"/>
        <v>0</v>
      </c>
      <c r="AB47" s="291">
        <f t="shared" si="20"/>
        <v>0</v>
      </c>
      <c r="AC47" s="282">
        <f t="shared" si="21"/>
        <v>0</v>
      </c>
      <c r="AD47" s="282">
        <f t="shared" si="22"/>
        <v>0</v>
      </c>
      <c r="AE47" s="282">
        <f t="shared" si="23"/>
        <v>0</v>
      </c>
      <c r="AF47" s="282">
        <f t="shared" si="24"/>
        <v>0</v>
      </c>
      <c r="AG47" s="292">
        <f t="shared" si="25"/>
        <v>0</v>
      </c>
    </row>
    <row r="48" spans="1:33" ht="15">
      <c r="A48" s="43">
        <f t="shared" si="1"/>
        <v>22</v>
      </c>
      <c r="B48" s="197">
        <v>1</v>
      </c>
      <c r="C48" s="288" t="s">
        <v>130</v>
      </c>
      <c r="D48" s="293">
        <v>2262.2093594051807</v>
      </c>
      <c r="E48" s="284"/>
      <c r="F48" s="284"/>
      <c r="G48" s="293">
        <v>0</v>
      </c>
      <c r="H48" s="284"/>
      <c r="I48" s="294"/>
      <c r="J48" s="293">
        <f t="shared" si="2"/>
        <v>2262.2093594051807</v>
      </c>
      <c r="K48" s="284">
        <f t="shared" si="3"/>
        <v>0</v>
      </c>
      <c r="L48" s="284">
        <f t="shared" si="4"/>
        <v>0</v>
      </c>
      <c r="M48" s="285">
        <f t="shared" si="5"/>
        <v>0</v>
      </c>
      <c r="N48" s="284">
        <f t="shared" si="6"/>
        <v>0</v>
      </c>
      <c r="O48" s="294">
        <f t="shared" si="7"/>
        <v>0</v>
      </c>
      <c r="P48" s="293">
        <f t="shared" si="8"/>
        <v>2262.2093594051807</v>
      </c>
      <c r="Q48" s="284">
        <f t="shared" si="9"/>
        <v>0</v>
      </c>
      <c r="R48" s="284">
        <f t="shared" si="10"/>
        <v>0</v>
      </c>
      <c r="S48" s="285">
        <f t="shared" si="11"/>
        <v>0</v>
      </c>
      <c r="T48" s="284">
        <f t="shared" si="12"/>
        <v>0</v>
      </c>
      <c r="U48" s="294">
        <f t="shared" si="13"/>
        <v>0</v>
      </c>
      <c r="V48" s="293">
        <f t="shared" si="14"/>
        <v>2262.2093594051807</v>
      </c>
      <c r="W48" s="284">
        <f t="shared" si="15"/>
        <v>0</v>
      </c>
      <c r="X48" s="284">
        <f t="shared" si="16"/>
        <v>0</v>
      </c>
      <c r="Y48" s="285">
        <f t="shared" si="17"/>
        <v>0</v>
      </c>
      <c r="Z48" s="284">
        <f t="shared" si="18"/>
        <v>0</v>
      </c>
      <c r="AA48" s="294">
        <f t="shared" si="19"/>
        <v>0</v>
      </c>
      <c r="AB48" s="293">
        <f t="shared" si="20"/>
        <v>2262.2093594051807</v>
      </c>
      <c r="AC48" s="284">
        <f t="shared" si="21"/>
        <v>0</v>
      </c>
      <c r="AD48" s="284">
        <f t="shared" si="22"/>
        <v>0</v>
      </c>
      <c r="AE48" s="285">
        <f t="shared" si="23"/>
        <v>0</v>
      </c>
      <c r="AF48" s="284">
        <f t="shared" si="24"/>
        <v>0</v>
      </c>
      <c r="AG48" s="294">
        <f t="shared" si="25"/>
        <v>0</v>
      </c>
    </row>
    <row r="49" spans="1:33" ht="15">
      <c r="A49" s="43">
        <f t="shared" si="1"/>
        <v>23</v>
      </c>
      <c r="B49" s="197">
        <v>1</v>
      </c>
      <c r="C49" s="288" t="s">
        <v>162</v>
      </c>
      <c r="D49" s="293">
        <v>0</v>
      </c>
      <c r="E49" s="284"/>
      <c r="F49" s="284"/>
      <c r="G49" s="293">
        <v>0</v>
      </c>
      <c r="H49" s="284"/>
      <c r="I49" s="294"/>
      <c r="J49" s="293">
        <f t="shared" si="2"/>
        <v>0</v>
      </c>
      <c r="K49" s="284">
        <f t="shared" si="3"/>
        <v>0</v>
      </c>
      <c r="L49" s="284">
        <f t="shared" si="4"/>
        <v>0</v>
      </c>
      <c r="M49" s="285">
        <f t="shared" si="5"/>
        <v>0</v>
      </c>
      <c r="N49" s="284">
        <f t="shared" si="6"/>
        <v>0</v>
      </c>
      <c r="O49" s="294">
        <f t="shared" si="7"/>
        <v>0</v>
      </c>
      <c r="P49" s="293">
        <f t="shared" si="8"/>
        <v>0</v>
      </c>
      <c r="Q49" s="284">
        <f t="shared" si="9"/>
        <v>0</v>
      </c>
      <c r="R49" s="284">
        <f t="shared" si="10"/>
        <v>0</v>
      </c>
      <c r="S49" s="285">
        <f t="shared" si="11"/>
        <v>0</v>
      </c>
      <c r="T49" s="284">
        <f t="shared" si="12"/>
        <v>0</v>
      </c>
      <c r="U49" s="294">
        <f t="shared" si="13"/>
        <v>0</v>
      </c>
      <c r="V49" s="293">
        <f t="shared" si="14"/>
        <v>0</v>
      </c>
      <c r="W49" s="284">
        <f t="shared" si="15"/>
        <v>0</v>
      </c>
      <c r="X49" s="284">
        <f t="shared" si="16"/>
        <v>0</v>
      </c>
      <c r="Y49" s="285">
        <f t="shared" si="17"/>
        <v>0</v>
      </c>
      <c r="Z49" s="284">
        <f t="shared" si="18"/>
        <v>0</v>
      </c>
      <c r="AA49" s="294">
        <f t="shared" si="19"/>
        <v>0</v>
      </c>
      <c r="AB49" s="293">
        <f t="shared" si="20"/>
        <v>0</v>
      </c>
      <c r="AC49" s="284">
        <f t="shared" si="21"/>
        <v>0</v>
      </c>
      <c r="AD49" s="284">
        <f t="shared" si="22"/>
        <v>0</v>
      </c>
      <c r="AE49" s="285">
        <f t="shared" si="23"/>
        <v>0</v>
      </c>
      <c r="AF49" s="284">
        <f t="shared" si="24"/>
        <v>0</v>
      </c>
      <c r="AG49" s="294">
        <f t="shared" si="25"/>
        <v>0</v>
      </c>
    </row>
    <row r="50" spans="1:33" ht="15">
      <c r="A50" s="43">
        <f t="shared" si="1"/>
        <v>24</v>
      </c>
      <c r="B50" s="197">
        <v>1</v>
      </c>
      <c r="C50" s="288" t="s">
        <v>163</v>
      </c>
      <c r="D50" s="293">
        <v>0</v>
      </c>
      <c r="E50" s="284"/>
      <c r="F50" s="284"/>
      <c r="G50" s="293">
        <v>0</v>
      </c>
      <c r="H50" s="284"/>
      <c r="I50" s="294"/>
      <c r="J50" s="293">
        <f t="shared" si="2"/>
        <v>0</v>
      </c>
      <c r="K50" s="284">
        <f t="shared" si="3"/>
        <v>0</v>
      </c>
      <c r="L50" s="284">
        <f t="shared" si="4"/>
        <v>0</v>
      </c>
      <c r="M50" s="285">
        <f t="shared" si="5"/>
        <v>0</v>
      </c>
      <c r="N50" s="284">
        <f t="shared" si="6"/>
        <v>0</v>
      </c>
      <c r="O50" s="294">
        <f t="shared" si="7"/>
        <v>0</v>
      </c>
      <c r="P50" s="293">
        <f t="shared" si="8"/>
        <v>0</v>
      </c>
      <c r="Q50" s="284">
        <f t="shared" si="9"/>
        <v>0</v>
      </c>
      <c r="R50" s="284">
        <f t="shared" si="10"/>
        <v>0</v>
      </c>
      <c r="S50" s="285">
        <f t="shared" si="11"/>
        <v>0</v>
      </c>
      <c r="T50" s="284">
        <f t="shared" si="12"/>
        <v>0</v>
      </c>
      <c r="U50" s="294">
        <f t="shared" si="13"/>
        <v>0</v>
      </c>
      <c r="V50" s="293">
        <f t="shared" si="14"/>
        <v>0</v>
      </c>
      <c r="W50" s="284">
        <f t="shared" si="15"/>
        <v>0</v>
      </c>
      <c r="X50" s="284">
        <f t="shared" si="16"/>
        <v>0</v>
      </c>
      <c r="Y50" s="285">
        <f t="shared" si="17"/>
        <v>0</v>
      </c>
      <c r="Z50" s="284">
        <f t="shared" si="18"/>
        <v>0</v>
      </c>
      <c r="AA50" s="294">
        <f t="shared" si="19"/>
        <v>0</v>
      </c>
      <c r="AB50" s="293">
        <f t="shared" si="20"/>
        <v>0</v>
      </c>
      <c r="AC50" s="284">
        <f t="shared" si="21"/>
        <v>0</v>
      </c>
      <c r="AD50" s="284">
        <f t="shared" si="22"/>
        <v>0</v>
      </c>
      <c r="AE50" s="285">
        <f t="shared" si="23"/>
        <v>0</v>
      </c>
      <c r="AF50" s="284">
        <f t="shared" si="24"/>
        <v>0</v>
      </c>
      <c r="AG50" s="294">
        <f t="shared" si="25"/>
        <v>0</v>
      </c>
    </row>
    <row r="51" spans="1:33" ht="15">
      <c r="A51" s="43">
        <f t="shared" si="1"/>
        <v>25</v>
      </c>
      <c r="B51" s="197"/>
      <c r="C51" s="287" t="s">
        <v>164</v>
      </c>
      <c r="D51" s="291"/>
      <c r="E51" s="282"/>
      <c r="F51" s="282"/>
      <c r="G51" s="282"/>
      <c r="H51" s="282"/>
      <c r="I51" s="292"/>
      <c r="J51" s="291">
        <f t="shared" si="2"/>
        <v>0</v>
      </c>
      <c r="K51" s="282">
        <f t="shared" si="3"/>
        <v>0</v>
      </c>
      <c r="L51" s="282">
        <f t="shared" si="4"/>
        <v>0</v>
      </c>
      <c r="M51" s="282">
        <f t="shared" si="5"/>
        <v>0</v>
      </c>
      <c r="N51" s="282">
        <f t="shared" si="6"/>
        <v>0</v>
      </c>
      <c r="O51" s="292">
        <f t="shared" si="7"/>
        <v>0</v>
      </c>
      <c r="P51" s="291">
        <f t="shared" si="8"/>
        <v>0</v>
      </c>
      <c r="Q51" s="282">
        <f t="shared" si="9"/>
        <v>0</v>
      </c>
      <c r="R51" s="282">
        <f t="shared" si="10"/>
        <v>0</v>
      </c>
      <c r="S51" s="282">
        <f t="shared" si="11"/>
        <v>0</v>
      </c>
      <c r="T51" s="282">
        <f t="shared" si="12"/>
        <v>0</v>
      </c>
      <c r="U51" s="292">
        <f t="shared" si="13"/>
        <v>0</v>
      </c>
      <c r="V51" s="291">
        <f t="shared" si="14"/>
        <v>0</v>
      </c>
      <c r="W51" s="282">
        <f t="shared" si="15"/>
        <v>0</v>
      </c>
      <c r="X51" s="282">
        <f t="shared" si="16"/>
        <v>0</v>
      </c>
      <c r="Y51" s="282">
        <f t="shared" si="17"/>
        <v>0</v>
      </c>
      <c r="Z51" s="282">
        <f t="shared" si="18"/>
        <v>0</v>
      </c>
      <c r="AA51" s="292">
        <f t="shared" si="19"/>
        <v>0</v>
      </c>
      <c r="AB51" s="291">
        <f t="shared" si="20"/>
        <v>0</v>
      </c>
      <c r="AC51" s="282">
        <f t="shared" si="21"/>
        <v>0</v>
      </c>
      <c r="AD51" s="282">
        <f t="shared" si="22"/>
        <v>0</v>
      </c>
      <c r="AE51" s="282">
        <f t="shared" si="23"/>
        <v>0</v>
      </c>
      <c r="AF51" s="282">
        <f t="shared" si="24"/>
        <v>0</v>
      </c>
      <c r="AG51" s="292">
        <f t="shared" si="25"/>
        <v>0</v>
      </c>
    </row>
    <row r="52" spans="1:33" ht="15">
      <c r="A52" s="43">
        <f t="shared" si="1"/>
        <v>26</v>
      </c>
      <c r="B52" s="197">
        <v>1</v>
      </c>
      <c r="C52" s="288" t="s">
        <v>96</v>
      </c>
      <c r="D52" s="293">
        <v>379857.67107737559</v>
      </c>
      <c r="E52" s="293">
        <v>99896.639824048034</v>
      </c>
      <c r="F52" s="284"/>
      <c r="G52" s="293">
        <v>4728</v>
      </c>
      <c r="H52" s="284"/>
      <c r="I52" s="294"/>
      <c r="J52" s="293">
        <f t="shared" si="2"/>
        <v>379857.67107737559</v>
      </c>
      <c r="K52" s="283">
        <f t="shared" si="3"/>
        <v>99896.639824048034</v>
      </c>
      <c r="L52" s="284">
        <f t="shared" si="4"/>
        <v>0</v>
      </c>
      <c r="M52" s="285">
        <f t="shared" si="5"/>
        <v>4728</v>
      </c>
      <c r="N52" s="284">
        <f t="shared" si="6"/>
        <v>0</v>
      </c>
      <c r="O52" s="294">
        <f t="shared" si="7"/>
        <v>0</v>
      </c>
      <c r="P52" s="293">
        <f t="shared" si="8"/>
        <v>379857.67107737559</v>
      </c>
      <c r="Q52" s="283">
        <f t="shared" si="9"/>
        <v>99896.639824048034</v>
      </c>
      <c r="R52" s="284">
        <f t="shared" si="10"/>
        <v>0</v>
      </c>
      <c r="S52" s="285">
        <f t="shared" si="11"/>
        <v>4728</v>
      </c>
      <c r="T52" s="284">
        <f t="shared" si="12"/>
        <v>0</v>
      </c>
      <c r="U52" s="294">
        <f t="shared" si="13"/>
        <v>0</v>
      </c>
      <c r="V52" s="293">
        <f t="shared" si="14"/>
        <v>379857.67107737559</v>
      </c>
      <c r="W52" s="283">
        <f t="shared" si="15"/>
        <v>99896.639824048034</v>
      </c>
      <c r="X52" s="284">
        <f t="shared" si="16"/>
        <v>0</v>
      </c>
      <c r="Y52" s="285">
        <f t="shared" si="17"/>
        <v>4728</v>
      </c>
      <c r="Z52" s="284">
        <f t="shared" si="18"/>
        <v>0</v>
      </c>
      <c r="AA52" s="294">
        <f t="shared" si="19"/>
        <v>0</v>
      </c>
      <c r="AB52" s="293">
        <f t="shared" si="20"/>
        <v>379857.67107737559</v>
      </c>
      <c r="AC52" s="283">
        <f t="shared" si="21"/>
        <v>99896.639824048034</v>
      </c>
      <c r="AD52" s="284">
        <f t="shared" si="22"/>
        <v>0</v>
      </c>
      <c r="AE52" s="285">
        <f t="shared" si="23"/>
        <v>4728</v>
      </c>
      <c r="AF52" s="284">
        <f t="shared" si="24"/>
        <v>0</v>
      </c>
      <c r="AG52" s="294">
        <f t="shared" si="25"/>
        <v>0</v>
      </c>
    </row>
    <row r="53" spans="1:33" ht="15">
      <c r="A53" s="43">
        <f t="shared" si="1"/>
        <v>27</v>
      </c>
      <c r="B53" s="197">
        <v>1</v>
      </c>
      <c r="C53" s="288" t="s">
        <v>165</v>
      </c>
      <c r="D53" s="293">
        <v>0</v>
      </c>
      <c r="E53" s="293">
        <v>0</v>
      </c>
      <c r="F53" s="284"/>
      <c r="G53" s="293">
        <v>0</v>
      </c>
      <c r="H53" s="284"/>
      <c r="I53" s="294"/>
      <c r="J53" s="293">
        <f t="shared" si="2"/>
        <v>0</v>
      </c>
      <c r="K53" s="283">
        <f t="shared" si="3"/>
        <v>0</v>
      </c>
      <c r="L53" s="284">
        <f t="shared" si="4"/>
        <v>0</v>
      </c>
      <c r="M53" s="285">
        <f t="shared" si="5"/>
        <v>0</v>
      </c>
      <c r="N53" s="284">
        <f t="shared" si="6"/>
        <v>0</v>
      </c>
      <c r="O53" s="294">
        <f t="shared" si="7"/>
        <v>0</v>
      </c>
      <c r="P53" s="293">
        <f t="shared" si="8"/>
        <v>0</v>
      </c>
      <c r="Q53" s="283">
        <f t="shared" si="9"/>
        <v>0</v>
      </c>
      <c r="R53" s="284">
        <f t="shared" si="10"/>
        <v>0</v>
      </c>
      <c r="S53" s="285">
        <f t="shared" si="11"/>
        <v>0</v>
      </c>
      <c r="T53" s="284">
        <f t="shared" si="12"/>
        <v>0</v>
      </c>
      <c r="U53" s="294">
        <f t="shared" si="13"/>
        <v>0</v>
      </c>
      <c r="V53" s="293">
        <f t="shared" si="14"/>
        <v>0</v>
      </c>
      <c r="W53" s="283">
        <f t="shared" si="15"/>
        <v>0</v>
      </c>
      <c r="X53" s="284">
        <f t="shared" si="16"/>
        <v>0</v>
      </c>
      <c r="Y53" s="285">
        <f t="shared" si="17"/>
        <v>0</v>
      </c>
      <c r="Z53" s="284">
        <f t="shared" si="18"/>
        <v>0</v>
      </c>
      <c r="AA53" s="294">
        <f t="shared" si="19"/>
        <v>0</v>
      </c>
      <c r="AB53" s="293">
        <f t="shared" si="20"/>
        <v>0</v>
      </c>
      <c r="AC53" s="283">
        <f t="shared" si="21"/>
        <v>0</v>
      </c>
      <c r="AD53" s="284">
        <f t="shared" si="22"/>
        <v>0</v>
      </c>
      <c r="AE53" s="285">
        <f t="shared" si="23"/>
        <v>0</v>
      </c>
      <c r="AF53" s="284">
        <f t="shared" si="24"/>
        <v>0</v>
      </c>
      <c r="AG53" s="294">
        <f t="shared" si="25"/>
        <v>0</v>
      </c>
    </row>
    <row r="54" spans="1:33" ht="15">
      <c r="A54" s="43">
        <f t="shared" si="1"/>
        <v>28</v>
      </c>
      <c r="B54" s="197">
        <v>1</v>
      </c>
      <c r="C54" s="288" t="s">
        <v>166</v>
      </c>
      <c r="D54" s="293">
        <v>1094.445243350247</v>
      </c>
      <c r="E54" s="293">
        <v>144.85382852920503</v>
      </c>
      <c r="F54" s="284"/>
      <c r="G54" s="293">
        <v>10</v>
      </c>
      <c r="H54" s="284"/>
      <c r="I54" s="294"/>
      <c r="J54" s="293">
        <f t="shared" si="2"/>
        <v>1094.445243350247</v>
      </c>
      <c r="K54" s="283">
        <f t="shared" si="3"/>
        <v>144.85382852920503</v>
      </c>
      <c r="L54" s="284">
        <f t="shared" si="4"/>
        <v>0</v>
      </c>
      <c r="M54" s="285">
        <f t="shared" si="5"/>
        <v>10</v>
      </c>
      <c r="N54" s="284">
        <f t="shared" si="6"/>
        <v>0</v>
      </c>
      <c r="O54" s="294">
        <f t="shared" si="7"/>
        <v>0</v>
      </c>
      <c r="P54" s="293">
        <f t="shared" si="8"/>
        <v>1094.445243350247</v>
      </c>
      <c r="Q54" s="283">
        <f t="shared" si="9"/>
        <v>144.85382852920503</v>
      </c>
      <c r="R54" s="284">
        <f t="shared" si="10"/>
        <v>0</v>
      </c>
      <c r="S54" s="285">
        <f t="shared" si="11"/>
        <v>10</v>
      </c>
      <c r="T54" s="284">
        <f t="shared" si="12"/>
        <v>0</v>
      </c>
      <c r="U54" s="294">
        <f t="shared" si="13"/>
        <v>0</v>
      </c>
      <c r="V54" s="293">
        <f t="shared" si="14"/>
        <v>1094.445243350247</v>
      </c>
      <c r="W54" s="283">
        <f t="shared" si="15"/>
        <v>144.85382852920503</v>
      </c>
      <c r="X54" s="284">
        <f t="shared" si="16"/>
        <v>0</v>
      </c>
      <c r="Y54" s="285">
        <f t="shared" si="17"/>
        <v>10</v>
      </c>
      <c r="Z54" s="284">
        <f t="shared" si="18"/>
        <v>0</v>
      </c>
      <c r="AA54" s="294">
        <f t="shared" si="19"/>
        <v>0</v>
      </c>
      <c r="AB54" s="293">
        <f t="shared" si="20"/>
        <v>1094.445243350247</v>
      </c>
      <c r="AC54" s="283">
        <f t="shared" si="21"/>
        <v>144.85382852920503</v>
      </c>
      <c r="AD54" s="284">
        <f t="shared" si="22"/>
        <v>0</v>
      </c>
      <c r="AE54" s="285">
        <f t="shared" si="23"/>
        <v>10</v>
      </c>
      <c r="AF54" s="284">
        <f t="shared" si="24"/>
        <v>0</v>
      </c>
      <c r="AG54" s="294">
        <f t="shared" si="25"/>
        <v>0</v>
      </c>
    </row>
    <row r="55" spans="1:33" ht="15">
      <c r="A55" s="43">
        <f t="shared" si="1"/>
        <v>29</v>
      </c>
      <c r="B55" s="197"/>
      <c r="C55" s="287" t="s">
        <v>167</v>
      </c>
      <c r="D55" s="291"/>
      <c r="E55" s="282"/>
      <c r="F55" s="282"/>
      <c r="G55" s="282"/>
      <c r="H55" s="282"/>
      <c r="I55" s="292"/>
      <c r="J55" s="291">
        <f t="shared" si="2"/>
        <v>0</v>
      </c>
      <c r="K55" s="282">
        <f t="shared" si="3"/>
        <v>0</v>
      </c>
      <c r="L55" s="282">
        <f t="shared" si="4"/>
        <v>0</v>
      </c>
      <c r="M55" s="282">
        <f t="shared" si="5"/>
        <v>0</v>
      </c>
      <c r="N55" s="282">
        <f t="shared" si="6"/>
        <v>0</v>
      </c>
      <c r="O55" s="292">
        <f t="shared" si="7"/>
        <v>0</v>
      </c>
      <c r="P55" s="291">
        <f t="shared" si="8"/>
        <v>0</v>
      </c>
      <c r="Q55" s="282">
        <f t="shared" si="9"/>
        <v>0</v>
      </c>
      <c r="R55" s="282">
        <f t="shared" si="10"/>
        <v>0</v>
      </c>
      <c r="S55" s="282">
        <f t="shared" si="11"/>
        <v>0</v>
      </c>
      <c r="T55" s="282">
        <f t="shared" si="12"/>
        <v>0</v>
      </c>
      <c r="U55" s="292">
        <f t="shared" si="13"/>
        <v>0</v>
      </c>
      <c r="V55" s="291">
        <f t="shared" si="14"/>
        <v>0</v>
      </c>
      <c r="W55" s="282">
        <f t="shared" si="15"/>
        <v>0</v>
      </c>
      <c r="X55" s="282">
        <f t="shared" si="16"/>
        <v>0</v>
      </c>
      <c r="Y55" s="282">
        <f t="shared" si="17"/>
        <v>0</v>
      </c>
      <c r="Z55" s="282">
        <f t="shared" si="18"/>
        <v>0</v>
      </c>
      <c r="AA55" s="292">
        <f t="shared" si="19"/>
        <v>0</v>
      </c>
      <c r="AB55" s="291">
        <f t="shared" si="20"/>
        <v>0</v>
      </c>
      <c r="AC55" s="282">
        <f t="shared" si="21"/>
        <v>0</v>
      </c>
      <c r="AD55" s="282">
        <f t="shared" si="22"/>
        <v>0</v>
      </c>
      <c r="AE55" s="282">
        <f t="shared" si="23"/>
        <v>0</v>
      </c>
      <c r="AF55" s="282">
        <f t="shared" si="24"/>
        <v>0</v>
      </c>
      <c r="AG55" s="292">
        <f t="shared" si="25"/>
        <v>0</v>
      </c>
    </row>
    <row r="56" spans="1:33" ht="15">
      <c r="A56" s="43">
        <f t="shared" si="1"/>
        <v>30</v>
      </c>
      <c r="B56" s="197">
        <v>1</v>
      </c>
      <c r="C56" s="288" t="s">
        <v>97</v>
      </c>
      <c r="D56" s="293">
        <v>517.04045501631606</v>
      </c>
      <c r="E56" s="293">
        <v>136.89783135294002</v>
      </c>
      <c r="F56" s="284"/>
      <c r="G56" s="293">
        <v>4</v>
      </c>
      <c r="H56" s="284"/>
      <c r="I56" s="294"/>
      <c r="J56" s="293">
        <f t="shared" si="2"/>
        <v>517.04045501631606</v>
      </c>
      <c r="K56" s="283">
        <f t="shared" si="3"/>
        <v>136.89783135294002</v>
      </c>
      <c r="L56" s="284">
        <f t="shared" si="4"/>
        <v>0</v>
      </c>
      <c r="M56" s="285">
        <f t="shared" si="5"/>
        <v>4</v>
      </c>
      <c r="N56" s="284">
        <f t="shared" si="6"/>
        <v>0</v>
      </c>
      <c r="O56" s="294">
        <f t="shared" si="7"/>
        <v>0</v>
      </c>
      <c r="P56" s="293">
        <f t="shared" si="8"/>
        <v>517.04045501631606</v>
      </c>
      <c r="Q56" s="283">
        <f t="shared" si="9"/>
        <v>136.89783135294002</v>
      </c>
      <c r="R56" s="284">
        <f t="shared" si="10"/>
        <v>0</v>
      </c>
      <c r="S56" s="285">
        <f t="shared" si="11"/>
        <v>4</v>
      </c>
      <c r="T56" s="284">
        <f t="shared" si="12"/>
        <v>0</v>
      </c>
      <c r="U56" s="294">
        <f t="shared" si="13"/>
        <v>0</v>
      </c>
      <c r="V56" s="293">
        <f t="shared" si="14"/>
        <v>517.04045501631606</v>
      </c>
      <c r="W56" s="283">
        <f t="shared" si="15"/>
        <v>136.89783135294002</v>
      </c>
      <c r="X56" s="284">
        <f t="shared" si="16"/>
        <v>0</v>
      </c>
      <c r="Y56" s="285">
        <f t="shared" si="17"/>
        <v>4</v>
      </c>
      <c r="Z56" s="284">
        <f t="shared" si="18"/>
        <v>0</v>
      </c>
      <c r="AA56" s="294">
        <f t="shared" si="19"/>
        <v>0</v>
      </c>
      <c r="AB56" s="293">
        <f t="shared" si="20"/>
        <v>517.04045501631606</v>
      </c>
      <c r="AC56" s="283">
        <f t="shared" si="21"/>
        <v>136.89783135294002</v>
      </c>
      <c r="AD56" s="284">
        <f t="shared" si="22"/>
        <v>0</v>
      </c>
      <c r="AE56" s="285">
        <f t="shared" si="23"/>
        <v>4</v>
      </c>
      <c r="AF56" s="284">
        <f t="shared" si="24"/>
        <v>0</v>
      </c>
      <c r="AG56" s="294">
        <f t="shared" si="25"/>
        <v>0</v>
      </c>
    </row>
    <row r="57" spans="1:33" ht="15">
      <c r="A57" s="43">
        <f t="shared" si="1"/>
        <v>31</v>
      </c>
      <c r="B57" s="197"/>
      <c r="C57" s="287" t="s">
        <v>168</v>
      </c>
      <c r="D57" s="291"/>
      <c r="E57" s="282"/>
      <c r="F57" s="282"/>
      <c r="G57" s="282"/>
      <c r="H57" s="282"/>
      <c r="I57" s="292"/>
      <c r="J57" s="291">
        <f t="shared" si="2"/>
        <v>0</v>
      </c>
      <c r="K57" s="282">
        <f t="shared" si="3"/>
        <v>0</v>
      </c>
      <c r="L57" s="282">
        <f t="shared" si="4"/>
        <v>0</v>
      </c>
      <c r="M57" s="282">
        <f t="shared" si="5"/>
        <v>0</v>
      </c>
      <c r="N57" s="282">
        <f t="shared" si="6"/>
        <v>0</v>
      </c>
      <c r="O57" s="292">
        <f t="shared" si="7"/>
        <v>0</v>
      </c>
      <c r="P57" s="291">
        <f t="shared" si="8"/>
        <v>0</v>
      </c>
      <c r="Q57" s="282">
        <f t="shared" si="9"/>
        <v>0</v>
      </c>
      <c r="R57" s="282">
        <f t="shared" si="10"/>
        <v>0</v>
      </c>
      <c r="S57" s="282">
        <f t="shared" si="11"/>
        <v>0</v>
      </c>
      <c r="T57" s="282">
        <f t="shared" si="12"/>
        <v>0</v>
      </c>
      <c r="U57" s="292">
        <f t="shared" si="13"/>
        <v>0</v>
      </c>
      <c r="V57" s="291">
        <f t="shared" si="14"/>
        <v>0</v>
      </c>
      <c r="W57" s="282">
        <f t="shared" si="15"/>
        <v>0</v>
      </c>
      <c r="X57" s="282">
        <f t="shared" si="16"/>
        <v>0</v>
      </c>
      <c r="Y57" s="282">
        <f t="shared" si="17"/>
        <v>0</v>
      </c>
      <c r="Z57" s="282">
        <f t="shared" si="18"/>
        <v>0</v>
      </c>
      <c r="AA57" s="292">
        <f t="shared" si="19"/>
        <v>0</v>
      </c>
      <c r="AB57" s="291">
        <f t="shared" si="20"/>
        <v>0</v>
      </c>
      <c r="AC57" s="282">
        <f t="shared" si="21"/>
        <v>0</v>
      </c>
      <c r="AD57" s="282">
        <f t="shared" si="22"/>
        <v>0</v>
      </c>
      <c r="AE57" s="282">
        <f t="shared" si="23"/>
        <v>0</v>
      </c>
      <c r="AF57" s="282">
        <f t="shared" si="24"/>
        <v>0</v>
      </c>
      <c r="AG57" s="292">
        <f t="shared" si="25"/>
        <v>0</v>
      </c>
    </row>
    <row r="58" spans="1:33" ht="15">
      <c r="A58" s="43">
        <f t="shared" si="1"/>
        <v>32</v>
      </c>
      <c r="B58" s="197">
        <v>1</v>
      </c>
      <c r="C58" s="288" t="s">
        <v>110</v>
      </c>
      <c r="D58" s="293">
        <v>753.60754258070392</v>
      </c>
      <c r="E58" s="293">
        <v>161.59553674706402</v>
      </c>
      <c r="F58" s="284"/>
      <c r="G58" s="293">
        <v>13</v>
      </c>
      <c r="H58" s="284"/>
      <c r="I58" s="294"/>
      <c r="J58" s="293">
        <f t="shared" si="2"/>
        <v>753.60754258070392</v>
      </c>
      <c r="K58" s="283">
        <f t="shared" si="3"/>
        <v>161.59553674706402</v>
      </c>
      <c r="L58" s="284">
        <f t="shared" si="4"/>
        <v>0</v>
      </c>
      <c r="M58" s="285">
        <f t="shared" si="5"/>
        <v>13</v>
      </c>
      <c r="N58" s="284">
        <f t="shared" si="6"/>
        <v>0</v>
      </c>
      <c r="O58" s="294">
        <f t="shared" si="7"/>
        <v>0</v>
      </c>
      <c r="P58" s="293">
        <f t="shared" si="8"/>
        <v>753.60754258070392</v>
      </c>
      <c r="Q58" s="283">
        <f t="shared" si="9"/>
        <v>161.59553674706402</v>
      </c>
      <c r="R58" s="284">
        <f t="shared" si="10"/>
        <v>0</v>
      </c>
      <c r="S58" s="285">
        <f t="shared" si="11"/>
        <v>13</v>
      </c>
      <c r="T58" s="284">
        <f t="shared" si="12"/>
        <v>0</v>
      </c>
      <c r="U58" s="294">
        <f t="shared" si="13"/>
        <v>0</v>
      </c>
      <c r="V58" s="293">
        <f t="shared" si="14"/>
        <v>753.60754258070392</v>
      </c>
      <c r="W58" s="283">
        <f t="shared" si="15"/>
        <v>161.59553674706402</v>
      </c>
      <c r="X58" s="284">
        <f t="shared" si="16"/>
        <v>0</v>
      </c>
      <c r="Y58" s="285">
        <f t="shared" si="17"/>
        <v>13</v>
      </c>
      <c r="Z58" s="284">
        <f t="shared" si="18"/>
        <v>0</v>
      </c>
      <c r="AA58" s="294">
        <f t="shared" si="19"/>
        <v>0</v>
      </c>
      <c r="AB58" s="293">
        <f t="shared" si="20"/>
        <v>753.60754258070392</v>
      </c>
      <c r="AC58" s="283">
        <f t="shared" si="21"/>
        <v>161.59553674706402</v>
      </c>
      <c r="AD58" s="284">
        <f t="shared" si="22"/>
        <v>0</v>
      </c>
      <c r="AE58" s="285">
        <f t="shared" si="23"/>
        <v>13</v>
      </c>
      <c r="AF58" s="284">
        <f t="shared" si="24"/>
        <v>0</v>
      </c>
      <c r="AG58" s="294">
        <f t="shared" si="25"/>
        <v>0</v>
      </c>
    </row>
    <row r="59" spans="1:33" ht="15">
      <c r="A59" s="43">
        <f t="shared" si="1"/>
        <v>33</v>
      </c>
      <c r="B59" s="197"/>
      <c r="C59" s="287" t="s">
        <v>1650</v>
      </c>
      <c r="D59" s="291"/>
      <c r="E59" s="282"/>
      <c r="F59" s="282"/>
      <c r="G59" s="282"/>
      <c r="H59" s="282"/>
      <c r="I59" s="292"/>
      <c r="J59" s="291">
        <f t="shared" si="2"/>
        <v>0</v>
      </c>
      <c r="K59" s="282">
        <f t="shared" si="3"/>
        <v>0</v>
      </c>
      <c r="L59" s="282">
        <f t="shared" si="4"/>
        <v>0</v>
      </c>
      <c r="M59" s="282">
        <f t="shared" si="5"/>
        <v>0</v>
      </c>
      <c r="N59" s="282">
        <f t="shared" si="6"/>
        <v>0</v>
      </c>
      <c r="O59" s="292">
        <f t="shared" si="7"/>
        <v>0</v>
      </c>
      <c r="P59" s="291">
        <f t="shared" si="8"/>
        <v>0</v>
      </c>
      <c r="Q59" s="282">
        <f t="shared" si="9"/>
        <v>0</v>
      </c>
      <c r="R59" s="282">
        <f t="shared" si="10"/>
        <v>0</v>
      </c>
      <c r="S59" s="282">
        <f t="shared" si="11"/>
        <v>0</v>
      </c>
      <c r="T59" s="282">
        <f t="shared" si="12"/>
        <v>0</v>
      </c>
      <c r="U59" s="292">
        <f t="shared" si="13"/>
        <v>0</v>
      </c>
      <c r="V59" s="291">
        <f t="shared" si="14"/>
        <v>0</v>
      </c>
      <c r="W59" s="282">
        <f t="shared" si="15"/>
        <v>0</v>
      </c>
      <c r="X59" s="282">
        <f t="shared" si="16"/>
        <v>0</v>
      </c>
      <c r="Y59" s="282">
        <f t="shared" si="17"/>
        <v>0</v>
      </c>
      <c r="Z59" s="282">
        <f t="shared" si="18"/>
        <v>0</v>
      </c>
      <c r="AA59" s="292">
        <f t="shared" si="19"/>
        <v>0</v>
      </c>
      <c r="AB59" s="291">
        <f t="shared" si="20"/>
        <v>0</v>
      </c>
      <c r="AC59" s="282">
        <f t="shared" si="21"/>
        <v>0</v>
      </c>
      <c r="AD59" s="282">
        <f t="shared" si="22"/>
        <v>0</v>
      </c>
      <c r="AE59" s="282">
        <f t="shared" si="23"/>
        <v>0</v>
      </c>
      <c r="AF59" s="282">
        <f t="shared" si="24"/>
        <v>0</v>
      </c>
      <c r="AG59" s="292">
        <f t="shared" si="25"/>
        <v>0</v>
      </c>
    </row>
    <row r="60" spans="1:33" ht="15">
      <c r="A60" s="43">
        <f t="shared" si="1"/>
        <v>34</v>
      </c>
      <c r="B60" s="197">
        <v>1</v>
      </c>
      <c r="C60" s="288" t="s">
        <v>1647</v>
      </c>
      <c r="D60" s="293">
        <v>0</v>
      </c>
      <c r="E60" s="293">
        <v>0</v>
      </c>
      <c r="F60" s="293">
        <v>0</v>
      </c>
      <c r="G60" s="293">
        <v>0</v>
      </c>
      <c r="H60" s="284"/>
      <c r="I60" s="294"/>
      <c r="J60" s="293">
        <f t="shared" si="2"/>
        <v>0</v>
      </c>
      <c r="K60" s="283">
        <f t="shared" si="3"/>
        <v>0</v>
      </c>
      <c r="L60" s="283">
        <f t="shared" si="4"/>
        <v>0</v>
      </c>
      <c r="M60" s="285">
        <f t="shared" si="5"/>
        <v>0</v>
      </c>
      <c r="N60" s="284">
        <f t="shared" si="6"/>
        <v>0</v>
      </c>
      <c r="O60" s="294">
        <f t="shared" si="7"/>
        <v>0</v>
      </c>
      <c r="P60" s="293">
        <f t="shared" si="8"/>
        <v>0</v>
      </c>
      <c r="Q60" s="283">
        <f t="shared" si="9"/>
        <v>0</v>
      </c>
      <c r="R60" s="283">
        <f t="shared" si="10"/>
        <v>0</v>
      </c>
      <c r="S60" s="285">
        <f t="shared" si="11"/>
        <v>0</v>
      </c>
      <c r="T60" s="284">
        <f t="shared" si="12"/>
        <v>0</v>
      </c>
      <c r="U60" s="294">
        <f t="shared" si="13"/>
        <v>0</v>
      </c>
      <c r="V60" s="293">
        <f t="shared" si="14"/>
        <v>0</v>
      </c>
      <c r="W60" s="283">
        <f t="shared" si="15"/>
        <v>0</v>
      </c>
      <c r="X60" s="283">
        <f t="shared" si="16"/>
        <v>0</v>
      </c>
      <c r="Y60" s="285">
        <f t="shared" si="17"/>
        <v>0</v>
      </c>
      <c r="Z60" s="284">
        <f t="shared" si="18"/>
        <v>0</v>
      </c>
      <c r="AA60" s="294">
        <f t="shared" si="19"/>
        <v>0</v>
      </c>
      <c r="AB60" s="293">
        <f t="shared" si="20"/>
        <v>0</v>
      </c>
      <c r="AC60" s="283">
        <f t="shared" si="21"/>
        <v>0</v>
      </c>
      <c r="AD60" s="283">
        <f t="shared" si="22"/>
        <v>0</v>
      </c>
      <c r="AE60" s="285">
        <f t="shared" si="23"/>
        <v>0</v>
      </c>
      <c r="AF60" s="284">
        <f t="shared" si="24"/>
        <v>0</v>
      </c>
      <c r="AG60" s="294">
        <f t="shared" si="25"/>
        <v>0</v>
      </c>
    </row>
    <row r="61" spans="1:33" ht="15">
      <c r="A61" s="43">
        <f t="shared" si="1"/>
        <v>35</v>
      </c>
      <c r="B61" s="197">
        <v>1</v>
      </c>
      <c r="C61" s="288" t="s">
        <v>1644</v>
      </c>
      <c r="D61" s="293">
        <v>0</v>
      </c>
      <c r="E61" s="293">
        <v>0</v>
      </c>
      <c r="F61" s="293">
        <v>0</v>
      </c>
      <c r="G61" s="293">
        <v>0</v>
      </c>
      <c r="H61" s="284"/>
      <c r="I61" s="294"/>
      <c r="J61" s="293">
        <f t="shared" si="2"/>
        <v>0</v>
      </c>
      <c r="K61" s="283">
        <f t="shared" si="3"/>
        <v>0</v>
      </c>
      <c r="L61" s="283">
        <f t="shared" si="4"/>
        <v>0</v>
      </c>
      <c r="M61" s="285">
        <f t="shared" si="5"/>
        <v>0</v>
      </c>
      <c r="N61" s="284">
        <f t="shared" si="6"/>
        <v>0</v>
      </c>
      <c r="O61" s="294">
        <f t="shared" si="7"/>
        <v>0</v>
      </c>
      <c r="P61" s="293">
        <f t="shared" si="8"/>
        <v>0</v>
      </c>
      <c r="Q61" s="283">
        <f t="shared" si="9"/>
        <v>0</v>
      </c>
      <c r="R61" s="283">
        <f t="shared" si="10"/>
        <v>0</v>
      </c>
      <c r="S61" s="285">
        <f t="shared" si="11"/>
        <v>0</v>
      </c>
      <c r="T61" s="284">
        <f t="shared" si="12"/>
        <v>0</v>
      </c>
      <c r="U61" s="294">
        <f t="shared" si="13"/>
        <v>0</v>
      </c>
      <c r="V61" s="293">
        <f t="shared" si="14"/>
        <v>0</v>
      </c>
      <c r="W61" s="283">
        <f t="shared" si="15"/>
        <v>0</v>
      </c>
      <c r="X61" s="283">
        <f t="shared" si="16"/>
        <v>0</v>
      </c>
      <c r="Y61" s="285">
        <f t="shared" si="17"/>
        <v>0</v>
      </c>
      <c r="Z61" s="284">
        <f t="shared" si="18"/>
        <v>0</v>
      </c>
      <c r="AA61" s="294">
        <f t="shared" si="19"/>
        <v>0</v>
      </c>
      <c r="AB61" s="293">
        <f t="shared" si="20"/>
        <v>0</v>
      </c>
      <c r="AC61" s="283">
        <f t="shared" si="21"/>
        <v>0</v>
      </c>
      <c r="AD61" s="283">
        <f t="shared" si="22"/>
        <v>0</v>
      </c>
      <c r="AE61" s="285">
        <f t="shared" si="23"/>
        <v>0</v>
      </c>
      <c r="AF61" s="284">
        <f t="shared" si="24"/>
        <v>0</v>
      </c>
      <c r="AG61" s="294">
        <f t="shared" si="25"/>
        <v>0</v>
      </c>
    </row>
    <row r="62" spans="1:33" ht="15">
      <c r="A62" s="43">
        <f t="shared" si="1"/>
        <v>36</v>
      </c>
      <c r="B62" s="197">
        <v>1</v>
      </c>
      <c r="C62" s="288" t="s">
        <v>1641</v>
      </c>
      <c r="D62" s="293">
        <v>0</v>
      </c>
      <c r="E62" s="293">
        <v>0</v>
      </c>
      <c r="F62" s="293">
        <v>0</v>
      </c>
      <c r="G62" s="293">
        <v>0</v>
      </c>
      <c r="H62" s="284"/>
      <c r="I62" s="294"/>
      <c r="J62" s="293">
        <f t="shared" si="2"/>
        <v>0</v>
      </c>
      <c r="K62" s="283">
        <f t="shared" si="3"/>
        <v>0</v>
      </c>
      <c r="L62" s="283">
        <f t="shared" si="4"/>
        <v>0</v>
      </c>
      <c r="M62" s="285">
        <f t="shared" si="5"/>
        <v>0</v>
      </c>
      <c r="N62" s="284">
        <f t="shared" si="6"/>
        <v>0</v>
      </c>
      <c r="O62" s="294">
        <f t="shared" si="7"/>
        <v>0</v>
      </c>
      <c r="P62" s="293">
        <f t="shared" si="8"/>
        <v>0</v>
      </c>
      <c r="Q62" s="283">
        <f t="shared" si="9"/>
        <v>0</v>
      </c>
      <c r="R62" s="283">
        <f t="shared" si="10"/>
        <v>0</v>
      </c>
      <c r="S62" s="285">
        <f t="shared" si="11"/>
        <v>0</v>
      </c>
      <c r="T62" s="284">
        <f t="shared" si="12"/>
        <v>0</v>
      </c>
      <c r="U62" s="294">
        <f t="shared" si="13"/>
        <v>0</v>
      </c>
      <c r="V62" s="293">
        <f t="shared" si="14"/>
        <v>0</v>
      </c>
      <c r="W62" s="283">
        <f t="shared" si="15"/>
        <v>0</v>
      </c>
      <c r="X62" s="283">
        <f t="shared" si="16"/>
        <v>0</v>
      </c>
      <c r="Y62" s="285">
        <f t="shared" si="17"/>
        <v>0</v>
      </c>
      <c r="Z62" s="284">
        <f t="shared" si="18"/>
        <v>0</v>
      </c>
      <c r="AA62" s="294">
        <f t="shared" si="19"/>
        <v>0</v>
      </c>
      <c r="AB62" s="293">
        <f t="shared" si="20"/>
        <v>0</v>
      </c>
      <c r="AC62" s="283">
        <f t="shared" si="21"/>
        <v>0</v>
      </c>
      <c r="AD62" s="283">
        <f t="shared" si="22"/>
        <v>0</v>
      </c>
      <c r="AE62" s="285">
        <f t="shared" si="23"/>
        <v>0</v>
      </c>
      <c r="AF62" s="284">
        <f t="shared" si="24"/>
        <v>0</v>
      </c>
      <c r="AG62" s="294">
        <f t="shared" si="25"/>
        <v>0</v>
      </c>
    </row>
    <row r="63" spans="1:33" ht="15">
      <c r="A63" s="43">
        <f t="shared" si="1"/>
        <v>37</v>
      </c>
      <c r="B63" s="197"/>
      <c r="C63" s="287" t="s">
        <v>1649</v>
      </c>
      <c r="D63" s="291"/>
      <c r="E63" s="282"/>
      <c r="F63" s="282"/>
      <c r="G63" s="282"/>
      <c r="H63" s="282"/>
      <c r="I63" s="292"/>
      <c r="J63" s="291">
        <f t="shared" si="2"/>
        <v>0</v>
      </c>
      <c r="K63" s="282">
        <f t="shared" si="3"/>
        <v>0</v>
      </c>
      <c r="L63" s="282">
        <f t="shared" si="4"/>
        <v>0</v>
      </c>
      <c r="M63" s="282">
        <f t="shared" si="5"/>
        <v>0</v>
      </c>
      <c r="N63" s="282">
        <f t="shared" si="6"/>
        <v>0</v>
      </c>
      <c r="O63" s="292">
        <f t="shared" si="7"/>
        <v>0</v>
      </c>
      <c r="P63" s="291">
        <f t="shared" si="8"/>
        <v>0</v>
      </c>
      <c r="Q63" s="282">
        <f t="shared" si="9"/>
        <v>0</v>
      </c>
      <c r="R63" s="282">
        <f t="shared" si="10"/>
        <v>0</v>
      </c>
      <c r="S63" s="282">
        <f t="shared" si="11"/>
        <v>0</v>
      </c>
      <c r="T63" s="282">
        <f t="shared" si="12"/>
        <v>0</v>
      </c>
      <c r="U63" s="292">
        <f t="shared" si="13"/>
        <v>0</v>
      </c>
      <c r="V63" s="291">
        <f t="shared" si="14"/>
        <v>0</v>
      </c>
      <c r="W63" s="282">
        <f t="shared" si="15"/>
        <v>0</v>
      </c>
      <c r="X63" s="282">
        <f t="shared" si="16"/>
        <v>0</v>
      </c>
      <c r="Y63" s="282">
        <f t="shared" si="17"/>
        <v>0</v>
      </c>
      <c r="Z63" s="282">
        <f t="shared" si="18"/>
        <v>0</v>
      </c>
      <c r="AA63" s="292">
        <f t="shared" si="19"/>
        <v>0</v>
      </c>
      <c r="AB63" s="291">
        <f t="shared" si="20"/>
        <v>0</v>
      </c>
      <c r="AC63" s="282">
        <f t="shared" si="21"/>
        <v>0</v>
      </c>
      <c r="AD63" s="282">
        <f t="shared" si="22"/>
        <v>0</v>
      </c>
      <c r="AE63" s="282">
        <f t="shared" si="23"/>
        <v>0</v>
      </c>
      <c r="AF63" s="282">
        <f t="shared" si="24"/>
        <v>0</v>
      </c>
      <c r="AG63" s="292">
        <f t="shared" si="25"/>
        <v>0</v>
      </c>
    </row>
    <row r="64" spans="1:33" ht="15">
      <c r="A64" s="43">
        <f t="shared" si="1"/>
        <v>38</v>
      </c>
      <c r="B64" s="197">
        <v>1</v>
      </c>
      <c r="C64" s="288" t="s">
        <v>1646</v>
      </c>
      <c r="D64" s="293">
        <v>0</v>
      </c>
      <c r="E64" s="293">
        <v>0</v>
      </c>
      <c r="F64" s="293">
        <v>0</v>
      </c>
      <c r="G64" s="293">
        <v>0</v>
      </c>
      <c r="H64" s="284"/>
      <c r="I64" s="294"/>
      <c r="J64" s="293">
        <f t="shared" si="2"/>
        <v>0</v>
      </c>
      <c r="K64" s="283">
        <f t="shared" si="3"/>
        <v>0</v>
      </c>
      <c r="L64" s="283">
        <f t="shared" si="4"/>
        <v>0</v>
      </c>
      <c r="M64" s="285">
        <f t="shared" si="5"/>
        <v>0</v>
      </c>
      <c r="N64" s="284">
        <f t="shared" si="6"/>
        <v>0</v>
      </c>
      <c r="O64" s="294">
        <f t="shared" si="7"/>
        <v>0</v>
      </c>
      <c r="P64" s="293">
        <f t="shared" si="8"/>
        <v>0</v>
      </c>
      <c r="Q64" s="283">
        <f t="shared" si="9"/>
        <v>0</v>
      </c>
      <c r="R64" s="283">
        <f t="shared" si="10"/>
        <v>0</v>
      </c>
      <c r="S64" s="285">
        <f t="shared" si="11"/>
        <v>0</v>
      </c>
      <c r="T64" s="284">
        <f t="shared" si="12"/>
        <v>0</v>
      </c>
      <c r="U64" s="294">
        <f t="shared" si="13"/>
        <v>0</v>
      </c>
      <c r="V64" s="293">
        <f t="shared" si="14"/>
        <v>0</v>
      </c>
      <c r="W64" s="283">
        <f t="shared" si="15"/>
        <v>0</v>
      </c>
      <c r="X64" s="283">
        <f t="shared" si="16"/>
        <v>0</v>
      </c>
      <c r="Y64" s="285">
        <f t="shared" si="17"/>
        <v>0</v>
      </c>
      <c r="Z64" s="284">
        <f t="shared" si="18"/>
        <v>0</v>
      </c>
      <c r="AA64" s="294">
        <f t="shared" si="19"/>
        <v>0</v>
      </c>
      <c r="AB64" s="293">
        <f t="shared" si="20"/>
        <v>0</v>
      </c>
      <c r="AC64" s="283">
        <f t="shared" si="21"/>
        <v>0</v>
      </c>
      <c r="AD64" s="283">
        <f t="shared" si="22"/>
        <v>0</v>
      </c>
      <c r="AE64" s="285">
        <f t="shared" si="23"/>
        <v>0</v>
      </c>
      <c r="AF64" s="284">
        <f t="shared" si="24"/>
        <v>0</v>
      </c>
      <c r="AG64" s="294">
        <f t="shared" si="25"/>
        <v>0</v>
      </c>
    </row>
    <row r="65" spans="1:33" ht="15">
      <c r="A65" s="43">
        <f t="shared" si="1"/>
        <v>39</v>
      </c>
      <c r="B65" s="197">
        <v>1</v>
      </c>
      <c r="C65" s="288" t="s">
        <v>1643</v>
      </c>
      <c r="D65" s="293">
        <v>0</v>
      </c>
      <c r="E65" s="293">
        <v>0</v>
      </c>
      <c r="F65" s="293">
        <v>0</v>
      </c>
      <c r="G65" s="293">
        <v>0</v>
      </c>
      <c r="H65" s="284"/>
      <c r="I65" s="294"/>
      <c r="J65" s="293">
        <f t="shared" si="2"/>
        <v>0</v>
      </c>
      <c r="K65" s="283">
        <f t="shared" si="3"/>
        <v>0</v>
      </c>
      <c r="L65" s="283">
        <f t="shared" si="4"/>
        <v>0</v>
      </c>
      <c r="M65" s="285">
        <f t="shared" si="5"/>
        <v>0</v>
      </c>
      <c r="N65" s="284">
        <f t="shared" si="6"/>
        <v>0</v>
      </c>
      <c r="O65" s="294">
        <f t="shared" si="7"/>
        <v>0</v>
      </c>
      <c r="P65" s="293">
        <f t="shared" si="8"/>
        <v>0</v>
      </c>
      <c r="Q65" s="283">
        <f t="shared" si="9"/>
        <v>0</v>
      </c>
      <c r="R65" s="283">
        <f t="shared" si="10"/>
        <v>0</v>
      </c>
      <c r="S65" s="285">
        <f t="shared" si="11"/>
        <v>0</v>
      </c>
      <c r="T65" s="284">
        <f t="shared" si="12"/>
        <v>0</v>
      </c>
      <c r="U65" s="294">
        <f t="shared" si="13"/>
        <v>0</v>
      </c>
      <c r="V65" s="293">
        <f t="shared" si="14"/>
        <v>0</v>
      </c>
      <c r="W65" s="283">
        <f t="shared" si="15"/>
        <v>0</v>
      </c>
      <c r="X65" s="283">
        <f t="shared" si="16"/>
        <v>0</v>
      </c>
      <c r="Y65" s="285">
        <f t="shared" si="17"/>
        <v>0</v>
      </c>
      <c r="Z65" s="284">
        <f t="shared" si="18"/>
        <v>0</v>
      </c>
      <c r="AA65" s="294">
        <f t="shared" si="19"/>
        <v>0</v>
      </c>
      <c r="AB65" s="293">
        <f t="shared" si="20"/>
        <v>0</v>
      </c>
      <c r="AC65" s="283">
        <f t="shared" si="21"/>
        <v>0</v>
      </c>
      <c r="AD65" s="283">
        <f t="shared" si="22"/>
        <v>0</v>
      </c>
      <c r="AE65" s="285">
        <f t="shared" si="23"/>
        <v>0</v>
      </c>
      <c r="AF65" s="284">
        <f t="shared" si="24"/>
        <v>0</v>
      </c>
      <c r="AG65" s="294">
        <f t="shared" si="25"/>
        <v>0</v>
      </c>
    </row>
    <row r="66" spans="1:33" ht="15">
      <c r="A66" s="43">
        <f t="shared" si="1"/>
        <v>40</v>
      </c>
      <c r="B66" s="197">
        <v>1</v>
      </c>
      <c r="C66" s="288" t="s">
        <v>1640</v>
      </c>
      <c r="D66" s="293">
        <v>0</v>
      </c>
      <c r="E66" s="293">
        <v>0</v>
      </c>
      <c r="F66" s="293">
        <v>0</v>
      </c>
      <c r="G66" s="293">
        <v>0</v>
      </c>
      <c r="H66" s="284"/>
      <c r="I66" s="294"/>
      <c r="J66" s="293">
        <f t="shared" si="2"/>
        <v>0</v>
      </c>
      <c r="K66" s="283">
        <f t="shared" si="3"/>
        <v>0</v>
      </c>
      <c r="L66" s="283">
        <f t="shared" si="4"/>
        <v>0</v>
      </c>
      <c r="M66" s="285">
        <f t="shared" si="5"/>
        <v>0</v>
      </c>
      <c r="N66" s="284">
        <f t="shared" si="6"/>
        <v>0</v>
      </c>
      <c r="O66" s="294">
        <f t="shared" si="7"/>
        <v>0</v>
      </c>
      <c r="P66" s="293">
        <f t="shared" si="8"/>
        <v>0</v>
      </c>
      <c r="Q66" s="283">
        <f t="shared" si="9"/>
        <v>0</v>
      </c>
      <c r="R66" s="283">
        <f t="shared" si="10"/>
        <v>0</v>
      </c>
      <c r="S66" s="285">
        <f t="shared" si="11"/>
        <v>0</v>
      </c>
      <c r="T66" s="284">
        <f t="shared" si="12"/>
        <v>0</v>
      </c>
      <c r="U66" s="294">
        <f t="shared" si="13"/>
        <v>0</v>
      </c>
      <c r="V66" s="293">
        <f t="shared" si="14"/>
        <v>0</v>
      </c>
      <c r="W66" s="283">
        <f t="shared" si="15"/>
        <v>0</v>
      </c>
      <c r="X66" s="283">
        <f t="shared" si="16"/>
        <v>0</v>
      </c>
      <c r="Y66" s="285">
        <f t="shared" si="17"/>
        <v>0</v>
      </c>
      <c r="Z66" s="284">
        <f t="shared" si="18"/>
        <v>0</v>
      </c>
      <c r="AA66" s="294">
        <f t="shared" si="19"/>
        <v>0</v>
      </c>
      <c r="AB66" s="293">
        <f t="shared" si="20"/>
        <v>0</v>
      </c>
      <c r="AC66" s="283">
        <f t="shared" si="21"/>
        <v>0</v>
      </c>
      <c r="AD66" s="283">
        <f t="shared" si="22"/>
        <v>0</v>
      </c>
      <c r="AE66" s="285">
        <f t="shared" si="23"/>
        <v>0</v>
      </c>
      <c r="AF66" s="284">
        <f t="shared" si="24"/>
        <v>0</v>
      </c>
      <c r="AG66" s="294">
        <f t="shared" si="25"/>
        <v>0</v>
      </c>
    </row>
    <row r="67" spans="1:33" ht="15">
      <c r="A67" s="43">
        <f t="shared" si="1"/>
        <v>41</v>
      </c>
      <c r="B67" s="197"/>
      <c r="C67" s="287" t="s">
        <v>169</v>
      </c>
      <c r="D67" s="291"/>
      <c r="E67" s="282"/>
      <c r="F67" s="282"/>
      <c r="G67" s="282"/>
      <c r="H67" s="282"/>
      <c r="I67" s="292"/>
      <c r="J67" s="291">
        <f t="shared" si="2"/>
        <v>0</v>
      </c>
      <c r="K67" s="282">
        <f t="shared" si="3"/>
        <v>0</v>
      </c>
      <c r="L67" s="282">
        <f t="shared" si="4"/>
        <v>0</v>
      </c>
      <c r="M67" s="282">
        <f t="shared" si="5"/>
        <v>0</v>
      </c>
      <c r="N67" s="282">
        <f t="shared" si="6"/>
        <v>0</v>
      </c>
      <c r="O67" s="292">
        <f t="shared" si="7"/>
        <v>0</v>
      </c>
      <c r="P67" s="291">
        <f t="shared" si="8"/>
        <v>0</v>
      </c>
      <c r="Q67" s="282">
        <f t="shared" si="9"/>
        <v>0</v>
      </c>
      <c r="R67" s="282">
        <f t="shared" si="10"/>
        <v>0</v>
      </c>
      <c r="S67" s="282">
        <f t="shared" si="11"/>
        <v>0</v>
      </c>
      <c r="T67" s="282">
        <f t="shared" si="12"/>
        <v>0</v>
      </c>
      <c r="U67" s="292">
        <f t="shared" si="13"/>
        <v>0</v>
      </c>
      <c r="V67" s="291">
        <f t="shared" si="14"/>
        <v>0</v>
      </c>
      <c r="W67" s="282">
        <f t="shared" si="15"/>
        <v>0</v>
      </c>
      <c r="X67" s="282">
        <f t="shared" si="16"/>
        <v>0</v>
      </c>
      <c r="Y67" s="282">
        <f t="shared" si="17"/>
        <v>0</v>
      </c>
      <c r="Z67" s="282">
        <f t="shared" si="18"/>
        <v>0</v>
      </c>
      <c r="AA67" s="292">
        <f t="shared" si="19"/>
        <v>0</v>
      </c>
      <c r="AB67" s="291">
        <f t="shared" si="20"/>
        <v>0</v>
      </c>
      <c r="AC67" s="282">
        <f t="shared" si="21"/>
        <v>0</v>
      </c>
      <c r="AD67" s="282">
        <f t="shared" si="22"/>
        <v>0</v>
      </c>
      <c r="AE67" s="282">
        <f t="shared" si="23"/>
        <v>0</v>
      </c>
      <c r="AF67" s="282">
        <f t="shared" si="24"/>
        <v>0</v>
      </c>
      <c r="AG67" s="292">
        <f t="shared" si="25"/>
        <v>0</v>
      </c>
    </row>
    <row r="68" spans="1:33" ht="15">
      <c r="A68" s="43">
        <f t="shared" si="1"/>
        <v>42</v>
      </c>
      <c r="B68" s="197">
        <v>2</v>
      </c>
      <c r="C68" s="288" t="s">
        <v>98</v>
      </c>
      <c r="D68" s="293">
        <v>105280.60773635872</v>
      </c>
      <c r="E68" s="293">
        <v>666906.91242974426</v>
      </c>
      <c r="F68" s="293">
        <v>493272.90471028525</v>
      </c>
      <c r="G68" s="293">
        <v>3111</v>
      </c>
      <c r="H68" s="293">
        <v>578357</v>
      </c>
      <c r="I68" s="293">
        <v>121162</v>
      </c>
      <c r="J68" s="293">
        <f t="shared" si="2"/>
        <v>105280.60773635872</v>
      </c>
      <c r="K68" s="283">
        <f t="shared" si="3"/>
        <v>666906.91242974426</v>
      </c>
      <c r="L68" s="283">
        <f t="shared" si="4"/>
        <v>493272.90471028525</v>
      </c>
      <c r="M68" s="285">
        <f t="shared" si="5"/>
        <v>3111</v>
      </c>
      <c r="N68" s="285">
        <f t="shared" si="6"/>
        <v>578357</v>
      </c>
      <c r="O68" s="295">
        <f t="shared" si="7"/>
        <v>121162</v>
      </c>
      <c r="P68" s="293">
        <f t="shared" si="8"/>
        <v>105280.60773635872</v>
      </c>
      <c r="Q68" s="283">
        <f t="shared" si="9"/>
        <v>666906.91242974426</v>
      </c>
      <c r="R68" s="283">
        <f t="shared" si="10"/>
        <v>493272.90471028525</v>
      </c>
      <c r="S68" s="285">
        <f t="shared" si="11"/>
        <v>3111</v>
      </c>
      <c r="T68" s="285">
        <f t="shared" si="12"/>
        <v>578357</v>
      </c>
      <c r="U68" s="295">
        <f t="shared" si="13"/>
        <v>121162</v>
      </c>
      <c r="V68" s="293">
        <f t="shared" si="14"/>
        <v>105280.60773635872</v>
      </c>
      <c r="W68" s="283">
        <f t="shared" si="15"/>
        <v>666906.91242974426</v>
      </c>
      <c r="X68" s="283">
        <f t="shared" si="16"/>
        <v>493272.90471028525</v>
      </c>
      <c r="Y68" s="285">
        <f t="shared" si="17"/>
        <v>3111</v>
      </c>
      <c r="Z68" s="285">
        <f t="shared" si="18"/>
        <v>578357</v>
      </c>
      <c r="AA68" s="295">
        <f t="shared" si="19"/>
        <v>121162</v>
      </c>
      <c r="AB68" s="293">
        <f t="shared" si="20"/>
        <v>105280.60773635872</v>
      </c>
      <c r="AC68" s="283">
        <f t="shared" si="21"/>
        <v>666906.91242974426</v>
      </c>
      <c r="AD68" s="283">
        <f t="shared" si="22"/>
        <v>493272.90471028525</v>
      </c>
      <c r="AE68" s="285">
        <f t="shared" si="23"/>
        <v>3111</v>
      </c>
      <c r="AF68" s="285">
        <f t="shared" si="24"/>
        <v>578357</v>
      </c>
      <c r="AG68" s="295">
        <f t="shared" si="25"/>
        <v>121162</v>
      </c>
    </row>
    <row r="69" spans="1:33" ht="15">
      <c r="A69" s="43">
        <f t="shared" si="1"/>
        <v>43</v>
      </c>
      <c r="B69" s="197">
        <v>2</v>
      </c>
      <c r="C69" s="288" t="s">
        <v>170</v>
      </c>
      <c r="D69" s="293">
        <v>0</v>
      </c>
      <c r="E69" s="293">
        <v>0</v>
      </c>
      <c r="F69" s="293">
        <v>0</v>
      </c>
      <c r="G69" s="293">
        <v>0</v>
      </c>
      <c r="H69" s="293">
        <v>0</v>
      </c>
      <c r="I69" s="293">
        <v>0</v>
      </c>
      <c r="J69" s="293">
        <f t="shared" si="2"/>
        <v>0</v>
      </c>
      <c r="K69" s="283">
        <f t="shared" si="3"/>
        <v>0</v>
      </c>
      <c r="L69" s="283">
        <f t="shared" si="4"/>
        <v>0</v>
      </c>
      <c r="M69" s="285">
        <f t="shared" si="5"/>
        <v>0</v>
      </c>
      <c r="N69" s="285">
        <f t="shared" si="6"/>
        <v>0</v>
      </c>
      <c r="O69" s="295">
        <f t="shared" si="7"/>
        <v>0</v>
      </c>
      <c r="P69" s="293">
        <f t="shared" si="8"/>
        <v>0</v>
      </c>
      <c r="Q69" s="283">
        <f t="shared" si="9"/>
        <v>0</v>
      </c>
      <c r="R69" s="283">
        <f t="shared" si="10"/>
        <v>0</v>
      </c>
      <c r="S69" s="285">
        <f t="shared" si="11"/>
        <v>0</v>
      </c>
      <c r="T69" s="285">
        <f t="shared" si="12"/>
        <v>0</v>
      </c>
      <c r="U69" s="295">
        <f t="shared" si="13"/>
        <v>0</v>
      </c>
      <c r="V69" s="293">
        <f t="shared" si="14"/>
        <v>0</v>
      </c>
      <c r="W69" s="283">
        <f t="shared" si="15"/>
        <v>0</v>
      </c>
      <c r="X69" s="283">
        <f t="shared" si="16"/>
        <v>0</v>
      </c>
      <c r="Y69" s="285">
        <f t="shared" si="17"/>
        <v>0</v>
      </c>
      <c r="Z69" s="285">
        <f t="shared" si="18"/>
        <v>0</v>
      </c>
      <c r="AA69" s="295">
        <f t="shared" si="19"/>
        <v>0</v>
      </c>
      <c r="AB69" s="293">
        <f t="shared" si="20"/>
        <v>0</v>
      </c>
      <c r="AC69" s="283">
        <f t="shared" si="21"/>
        <v>0</v>
      </c>
      <c r="AD69" s="283">
        <f t="shared" si="22"/>
        <v>0</v>
      </c>
      <c r="AE69" s="285">
        <f t="shared" si="23"/>
        <v>0</v>
      </c>
      <c r="AF69" s="285">
        <f t="shared" si="24"/>
        <v>0</v>
      </c>
      <c r="AG69" s="295">
        <f t="shared" si="25"/>
        <v>0</v>
      </c>
    </row>
    <row r="70" spans="1:33" ht="15">
      <c r="A70" s="43">
        <f t="shared" si="1"/>
        <v>44</v>
      </c>
      <c r="B70" s="197">
        <v>2</v>
      </c>
      <c r="C70" s="288" t="s">
        <v>171</v>
      </c>
      <c r="D70" s="293">
        <v>1624.4972466770896</v>
      </c>
      <c r="E70" s="293">
        <v>8871.8152011074108</v>
      </c>
      <c r="F70" s="293">
        <v>6399.4295359516582</v>
      </c>
      <c r="G70" s="293">
        <v>20</v>
      </c>
      <c r="H70" s="293">
        <v>6985</v>
      </c>
      <c r="I70" s="293">
        <v>558</v>
      </c>
      <c r="J70" s="293">
        <f t="shared" si="2"/>
        <v>1624.4972466770896</v>
      </c>
      <c r="K70" s="283">
        <f t="shared" si="3"/>
        <v>8871.8152011074108</v>
      </c>
      <c r="L70" s="283">
        <f t="shared" si="4"/>
        <v>6399.4295359516582</v>
      </c>
      <c r="M70" s="285">
        <f t="shared" si="5"/>
        <v>20</v>
      </c>
      <c r="N70" s="285">
        <f t="shared" si="6"/>
        <v>6985</v>
      </c>
      <c r="O70" s="295">
        <f t="shared" si="7"/>
        <v>558</v>
      </c>
      <c r="P70" s="293">
        <f t="shared" si="8"/>
        <v>1624.4972466770896</v>
      </c>
      <c r="Q70" s="283">
        <f t="shared" si="9"/>
        <v>8871.8152011074108</v>
      </c>
      <c r="R70" s="283">
        <f t="shared" si="10"/>
        <v>6399.4295359516582</v>
      </c>
      <c r="S70" s="285">
        <f t="shared" si="11"/>
        <v>20</v>
      </c>
      <c r="T70" s="285">
        <f t="shared" si="12"/>
        <v>6985</v>
      </c>
      <c r="U70" s="295">
        <f t="shared" si="13"/>
        <v>558</v>
      </c>
      <c r="V70" s="293">
        <f t="shared" si="14"/>
        <v>1624.4972466770896</v>
      </c>
      <c r="W70" s="283">
        <f t="shared" si="15"/>
        <v>8871.8152011074108</v>
      </c>
      <c r="X70" s="283">
        <f t="shared" si="16"/>
        <v>6399.4295359516582</v>
      </c>
      <c r="Y70" s="285">
        <f t="shared" si="17"/>
        <v>20</v>
      </c>
      <c r="Z70" s="285">
        <f t="shared" si="18"/>
        <v>6985</v>
      </c>
      <c r="AA70" s="295">
        <f t="shared" si="19"/>
        <v>558</v>
      </c>
      <c r="AB70" s="293">
        <f t="shared" si="20"/>
        <v>1624.4972466770896</v>
      </c>
      <c r="AC70" s="283">
        <f t="shared" si="21"/>
        <v>8871.8152011074108</v>
      </c>
      <c r="AD70" s="283">
        <f t="shared" si="22"/>
        <v>6399.4295359516582</v>
      </c>
      <c r="AE70" s="285">
        <f t="shared" si="23"/>
        <v>20</v>
      </c>
      <c r="AF70" s="285">
        <f t="shared" si="24"/>
        <v>6985</v>
      </c>
      <c r="AG70" s="295">
        <f t="shared" si="25"/>
        <v>558</v>
      </c>
    </row>
    <row r="71" spans="1:33" ht="15">
      <c r="A71" s="43">
        <f t="shared" si="1"/>
        <v>45</v>
      </c>
      <c r="B71" s="197"/>
      <c r="C71" s="287" t="s">
        <v>172</v>
      </c>
      <c r="D71" s="291"/>
      <c r="E71" s="282"/>
      <c r="F71" s="282"/>
      <c r="G71" s="282"/>
      <c r="H71" s="282"/>
      <c r="I71" s="292"/>
      <c r="J71" s="291">
        <f t="shared" si="2"/>
        <v>0</v>
      </c>
      <c r="K71" s="282">
        <f t="shared" si="3"/>
        <v>0</v>
      </c>
      <c r="L71" s="282">
        <f t="shared" si="4"/>
        <v>0</v>
      </c>
      <c r="M71" s="282">
        <f t="shared" si="5"/>
        <v>0</v>
      </c>
      <c r="N71" s="282">
        <f t="shared" si="6"/>
        <v>0</v>
      </c>
      <c r="O71" s="292">
        <f t="shared" si="7"/>
        <v>0</v>
      </c>
      <c r="P71" s="291">
        <f t="shared" si="8"/>
        <v>0</v>
      </c>
      <c r="Q71" s="282">
        <f t="shared" si="9"/>
        <v>0</v>
      </c>
      <c r="R71" s="282">
        <f t="shared" si="10"/>
        <v>0</v>
      </c>
      <c r="S71" s="282">
        <f t="shared" si="11"/>
        <v>0</v>
      </c>
      <c r="T71" s="282">
        <f t="shared" si="12"/>
        <v>0</v>
      </c>
      <c r="U71" s="292">
        <f t="shared" si="13"/>
        <v>0</v>
      </c>
      <c r="V71" s="291">
        <f t="shared" si="14"/>
        <v>0</v>
      </c>
      <c r="W71" s="282">
        <f t="shared" si="15"/>
        <v>0</v>
      </c>
      <c r="X71" s="282">
        <f t="shared" si="16"/>
        <v>0</v>
      </c>
      <c r="Y71" s="282">
        <f t="shared" si="17"/>
        <v>0</v>
      </c>
      <c r="Z71" s="282">
        <f t="shared" si="18"/>
        <v>0</v>
      </c>
      <c r="AA71" s="292">
        <f t="shared" si="19"/>
        <v>0</v>
      </c>
      <c r="AB71" s="291">
        <f t="shared" si="20"/>
        <v>0</v>
      </c>
      <c r="AC71" s="282">
        <f t="shared" si="21"/>
        <v>0</v>
      </c>
      <c r="AD71" s="282">
        <f t="shared" si="22"/>
        <v>0</v>
      </c>
      <c r="AE71" s="282">
        <f t="shared" si="23"/>
        <v>0</v>
      </c>
      <c r="AF71" s="282">
        <f t="shared" si="24"/>
        <v>0</v>
      </c>
      <c r="AG71" s="292">
        <f t="shared" si="25"/>
        <v>0</v>
      </c>
    </row>
    <row r="72" spans="1:33" ht="15">
      <c r="A72" s="43">
        <f t="shared" si="1"/>
        <v>46</v>
      </c>
      <c r="B72" s="197">
        <v>2</v>
      </c>
      <c r="C72" s="288" t="s">
        <v>99</v>
      </c>
      <c r="D72" s="293">
        <v>1334.7866543787895</v>
      </c>
      <c r="E72" s="293">
        <v>7582.7475303968895</v>
      </c>
      <c r="F72" s="293">
        <v>5677.7124349562873</v>
      </c>
      <c r="G72" s="293">
        <v>18</v>
      </c>
      <c r="H72" s="293">
        <v>6238</v>
      </c>
      <c r="I72" s="293">
        <v>1758</v>
      </c>
      <c r="J72" s="293">
        <f t="shared" si="2"/>
        <v>1334.7866543787895</v>
      </c>
      <c r="K72" s="283">
        <f t="shared" si="3"/>
        <v>7582.7475303968895</v>
      </c>
      <c r="L72" s="283">
        <f t="shared" si="4"/>
        <v>5677.7124349562873</v>
      </c>
      <c r="M72" s="285">
        <f t="shared" si="5"/>
        <v>18</v>
      </c>
      <c r="N72" s="285">
        <f t="shared" si="6"/>
        <v>6238</v>
      </c>
      <c r="O72" s="295">
        <f t="shared" si="7"/>
        <v>1758</v>
      </c>
      <c r="P72" s="293">
        <f t="shared" si="8"/>
        <v>1334.7866543787895</v>
      </c>
      <c r="Q72" s="283">
        <f t="shared" si="9"/>
        <v>7582.7475303968895</v>
      </c>
      <c r="R72" s="283">
        <f t="shared" si="10"/>
        <v>5677.7124349562873</v>
      </c>
      <c r="S72" s="285">
        <f t="shared" si="11"/>
        <v>18</v>
      </c>
      <c r="T72" s="285">
        <f t="shared" si="12"/>
        <v>6238</v>
      </c>
      <c r="U72" s="295">
        <f t="shared" si="13"/>
        <v>1758</v>
      </c>
      <c r="V72" s="293">
        <f t="shared" si="14"/>
        <v>1334.7866543787895</v>
      </c>
      <c r="W72" s="283">
        <f t="shared" si="15"/>
        <v>7582.7475303968895</v>
      </c>
      <c r="X72" s="283">
        <f t="shared" si="16"/>
        <v>5677.7124349562873</v>
      </c>
      <c r="Y72" s="285">
        <f t="shared" si="17"/>
        <v>18</v>
      </c>
      <c r="Z72" s="285">
        <f t="shared" si="18"/>
        <v>6238</v>
      </c>
      <c r="AA72" s="295">
        <f t="shared" si="19"/>
        <v>1758</v>
      </c>
      <c r="AB72" s="293">
        <f t="shared" si="20"/>
        <v>1334.7866543787895</v>
      </c>
      <c r="AC72" s="283">
        <f t="shared" si="21"/>
        <v>7582.7475303968895</v>
      </c>
      <c r="AD72" s="283">
        <f t="shared" si="22"/>
        <v>5677.7124349562873</v>
      </c>
      <c r="AE72" s="285">
        <f t="shared" si="23"/>
        <v>18</v>
      </c>
      <c r="AF72" s="285">
        <f t="shared" si="24"/>
        <v>6238</v>
      </c>
      <c r="AG72" s="295">
        <f t="shared" si="25"/>
        <v>1758</v>
      </c>
    </row>
    <row r="73" spans="1:33" ht="15">
      <c r="A73" s="43">
        <f t="shared" si="1"/>
        <v>47</v>
      </c>
      <c r="B73" s="197">
        <v>2</v>
      </c>
      <c r="C73" s="288" t="s">
        <v>173</v>
      </c>
      <c r="D73" s="293">
        <v>439.053309912727</v>
      </c>
      <c r="E73" s="293">
        <v>2397.787892191192</v>
      </c>
      <c r="F73" s="293">
        <v>1729.5755502572049</v>
      </c>
      <c r="G73" s="293">
        <v>5</v>
      </c>
      <c r="H73" s="293">
        <v>1067</v>
      </c>
      <c r="I73" s="293">
        <v>113</v>
      </c>
      <c r="J73" s="293">
        <f t="shared" si="2"/>
        <v>439.053309912727</v>
      </c>
      <c r="K73" s="283">
        <f t="shared" si="3"/>
        <v>2397.787892191192</v>
      </c>
      <c r="L73" s="283">
        <f t="shared" si="4"/>
        <v>1729.5755502572049</v>
      </c>
      <c r="M73" s="285">
        <f t="shared" si="5"/>
        <v>5</v>
      </c>
      <c r="N73" s="285">
        <f t="shared" si="6"/>
        <v>1067</v>
      </c>
      <c r="O73" s="295">
        <f t="shared" si="7"/>
        <v>113</v>
      </c>
      <c r="P73" s="293">
        <f t="shared" si="8"/>
        <v>439.053309912727</v>
      </c>
      <c r="Q73" s="283">
        <f t="shared" si="9"/>
        <v>2397.787892191192</v>
      </c>
      <c r="R73" s="283">
        <f t="shared" si="10"/>
        <v>1729.5755502572049</v>
      </c>
      <c r="S73" s="285">
        <f t="shared" si="11"/>
        <v>5</v>
      </c>
      <c r="T73" s="285">
        <f t="shared" si="12"/>
        <v>1067</v>
      </c>
      <c r="U73" s="295">
        <f t="shared" si="13"/>
        <v>113</v>
      </c>
      <c r="V73" s="293">
        <f t="shared" si="14"/>
        <v>439.053309912727</v>
      </c>
      <c r="W73" s="283">
        <f t="shared" si="15"/>
        <v>2397.787892191192</v>
      </c>
      <c r="X73" s="283">
        <f t="shared" si="16"/>
        <v>1729.5755502572049</v>
      </c>
      <c r="Y73" s="285">
        <f t="shared" si="17"/>
        <v>5</v>
      </c>
      <c r="Z73" s="285">
        <f t="shared" si="18"/>
        <v>1067</v>
      </c>
      <c r="AA73" s="295">
        <f t="shared" si="19"/>
        <v>113</v>
      </c>
      <c r="AB73" s="293">
        <f t="shared" si="20"/>
        <v>439.053309912727</v>
      </c>
      <c r="AC73" s="283">
        <f t="shared" si="21"/>
        <v>2397.787892191192</v>
      </c>
      <c r="AD73" s="283">
        <f t="shared" si="22"/>
        <v>1729.5755502572049</v>
      </c>
      <c r="AE73" s="285">
        <f t="shared" si="23"/>
        <v>5</v>
      </c>
      <c r="AF73" s="285">
        <f t="shared" si="24"/>
        <v>1067</v>
      </c>
      <c r="AG73" s="295">
        <f t="shared" si="25"/>
        <v>113</v>
      </c>
    </row>
    <row r="74" spans="1:33" ht="15">
      <c r="A74" s="43">
        <f t="shared" si="1"/>
        <v>48</v>
      </c>
      <c r="B74" s="197"/>
      <c r="C74" s="287" t="s">
        <v>174</v>
      </c>
      <c r="D74" s="291"/>
      <c r="E74" s="282"/>
      <c r="F74" s="282"/>
      <c r="G74" s="282"/>
      <c r="H74" s="282"/>
      <c r="I74" s="292"/>
      <c r="J74" s="291">
        <f t="shared" ref="J74:J105" si="26">IF(D74,((VLOOKUP($B74,$E$7:$AE$16,4)+1)*D74),)</f>
        <v>0</v>
      </c>
      <c r="K74" s="282">
        <f t="shared" ref="K74:K105" si="27">IF(E74,((VLOOKUP($B74,$E$7:$AE$16,8)+1)*E74),)</f>
        <v>0</v>
      </c>
      <c r="L74" s="282">
        <f t="shared" ref="L74:L105" si="28">IF(F74,((VLOOKUP($B74,$E$7:$AE$16,12)+1)*F74),)</f>
        <v>0</v>
      </c>
      <c r="M74" s="282">
        <f t="shared" ref="M74:M105" si="29">IF(G74,((VLOOKUP($B74,$E$7:$AE$16,16)+1)*G74),)</f>
        <v>0</v>
      </c>
      <c r="N74" s="282">
        <f t="shared" ref="N74:N105" si="30">IF(H74,((VLOOKUP($B74,$E$7:$AE$16,20)+1)*H74),)</f>
        <v>0</v>
      </c>
      <c r="O74" s="292">
        <f t="shared" ref="O74:O105" si="31">IF(I74,((VLOOKUP($B74,$E$7:$AE$16,24)+1)*I74),)</f>
        <v>0</v>
      </c>
      <c r="P74" s="291">
        <f t="shared" ref="P74:P105" si="32">IF(D74,((VLOOKUP($B74,$E$7:$AE$16,5)+1)*J74),)</f>
        <v>0</v>
      </c>
      <c r="Q74" s="282">
        <f t="shared" ref="Q74:Q105" si="33">IF(E74,((VLOOKUP($B74,$E$7:$AE$16,5+4)+1)*K74),)</f>
        <v>0</v>
      </c>
      <c r="R74" s="282">
        <f t="shared" ref="R74:R105" si="34">IF(F74,((VLOOKUP($B74,$E$7:$AE$16,5+8)+1)*L74),)</f>
        <v>0</v>
      </c>
      <c r="S74" s="282">
        <f t="shared" ref="S74:S105" si="35">IF(G74,((VLOOKUP($B74,$E$7:$AE$16,5+12)+1)*M74),)</f>
        <v>0</v>
      </c>
      <c r="T74" s="282">
        <f t="shared" ref="T74:T105" si="36">IF(H74,((VLOOKUP($B74,$E$7:$AE$16,5+16)+1)*N74),)</f>
        <v>0</v>
      </c>
      <c r="U74" s="292">
        <f t="shared" ref="U74:U105" si="37">IF(I74,((VLOOKUP($B74,$E$7:$AE$16,5+20)+1)*O74),)</f>
        <v>0</v>
      </c>
      <c r="V74" s="291">
        <f t="shared" ref="V74:V105" si="38">IF(D74,((VLOOKUP($B74,$E$7:$AE$16,6)+1)*P74),)</f>
        <v>0</v>
      </c>
      <c r="W74" s="282">
        <f t="shared" ref="W74:W105" si="39">IF(E74,((VLOOKUP($B74,$E$7:$AE$16,6+4)+1)*Q74),)</f>
        <v>0</v>
      </c>
      <c r="X74" s="282">
        <f t="shared" ref="X74:X105" si="40">IF(F74,((VLOOKUP($B74,$E$7:$AE$16,6+8)+1)*R74),)</f>
        <v>0</v>
      </c>
      <c r="Y74" s="282">
        <f t="shared" ref="Y74:Y105" si="41">IF(G74,((VLOOKUP($B74,$E$7:$AE$16,6+12)+1)*S74),)</f>
        <v>0</v>
      </c>
      <c r="Z74" s="282">
        <f t="shared" ref="Z74:Z105" si="42">IF(H74,((VLOOKUP($B74,$E$7:$AE$16,6+16)+1)*T74),)</f>
        <v>0</v>
      </c>
      <c r="AA74" s="292">
        <f t="shared" ref="AA74:AA105" si="43">IF(I74,((VLOOKUP($B74,$E$7:$AE$16,6+20)+1)*U74),)</f>
        <v>0</v>
      </c>
      <c r="AB74" s="291">
        <f t="shared" ref="AB74:AB105" si="44">IF(D74,((VLOOKUP($B74,$E$7:$AE$16,7)+1)*V74),)</f>
        <v>0</v>
      </c>
      <c r="AC74" s="282">
        <f t="shared" ref="AC74:AC105" si="45">IF(E74,((VLOOKUP($B74,$E$7:$AE$16,7+4)+1)*W74),)</f>
        <v>0</v>
      </c>
      <c r="AD74" s="282">
        <f t="shared" ref="AD74:AD105" si="46">IF(F74,((VLOOKUP($B74,$E$7:$AE$16,7+8)+1)*X74),)</f>
        <v>0</v>
      </c>
      <c r="AE74" s="282">
        <f t="shared" ref="AE74:AE105" si="47">IF(G74,((VLOOKUP($B74,$E$7:$AE$16,7+12)+1)*Y74),)</f>
        <v>0</v>
      </c>
      <c r="AF74" s="282">
        <f t="shared" ref="AF74:AF105" si="48">IF(H74,((VLOOKUP($B74,$E$7:$AE$16,7+16)+1)*Z74),)</f>
        <v>0</v>
      </c>
      <c r="AG74" s="292">
        <f t="shared" ref="AG74:AG105" si="49">IF(I74,((VLOOKUP($B74,$E$7:$AE$16,7+20)+1)*AA74),)</f>
        <v>0</v>
      </c>
    </row>
    <row r="75" spans="1:33" ht="15">
      <c r="A75" s="43">
        <f t="shared" si="1"/>
        <v>49</v>
      </c>
      <c r="B75" s="197">
        <v>2</v>
      </c>
      <c r="C75" s="288" t="s">
        <v>111</v>
      </c>
      <c r="D75" s="293">
        <v>168212.60808699948</v>
      </c>
      <c r="E75" s="293">
        <v>1015521.4628002136</v>
      </c>
      <c r="F75" s="293">
        <v>952719.56575802783</v>
      </c>
      <c r="G75" s="293">
        <v>595</v>
      </c>
      <c r="H75" s="293">
        <v>696791</v>
      </c>
      <c r="I75" s="293">
        <v>160841</v>
      </c>
      <c r="J75" s="293">
        <f t="shared" si="26"/>
        <v>168212.60808699948</v>
      </c>
      <c r="K75" s="283">
        <f t="shared" si="27"/>
        <v>1015521.4628002136</v>
      </c>
      <c r="L75" s="283">
        <f t="shared" si="28"/>
        <v>952719.56575802783</v>
      </c>
      <c r="M75" s="285">
        <f t="shared" si="29"/>
        <v>595</v>
      </c>
      <c r="N75" s="285">
        <f t="shared" si="30"/>
        <v>696791</v>
      </c>
      <c r="O75" s="295">
        <f t="shared" si="31"/>
        <v>160841</v>
      </c>
      <c r="P75" s="293">
        <f t="shared" si="32"/>
        <v>168212.60808699948</v>
      </c>
      <c r="Q75" s="283">
        <f t="shared" si="33"/>
        <v>1015521.4628002136</v>
      </c>
      <c r="R75" s="283">
        <f t="shared" si="34"/>
        <v>952719.56575802783</v>
      </c>
      <c r="S75" s="285">
        <f t="shared" si="35"/>
        <v>595</v>
      </c>
      <c r="T75" s="285">
        <f t="shared" si="36"/>
        <v>696791</v>
      </c>
      <c r="U75" s="295">
        <f t="shared" si="37"/>
        <v>160841</v>
      </c>
      <c r="V75" s="293">
        <f t="shared" si="38"/>
        <v>168212.60808699948</v>
      </c>
      <c r="W75" s="283">
        <f t="shared" si="39"/>
        <v>1015521.4628002136</v>
      </c>
      <c r="X75" s="283">
        <f t="shared" si="40"/>
        <v>952719.56575802783</v>
      </c>
      <c r="Y75" s="285">
        <f t="shared" si="41"/>
        <v>595</v>
      </c>
      <c r="Z75" s="285">
        <f t="shared" si="42"/>
        <v>696791</v>
      </c>
      <c r="AA75" s="295">
        <f t="shared" si="43"/>
        <v>160841</v>
      </c>
      <c r="AB75" s="293">
        <f t="shared" si="44"/>
        <v>168212.60808699948</v>
      </c>
      <c r="AC75" s="283">
        <f t="shared" si="45"/>
        <v>1015521.4628002136</v>
      </c>
      <c r="AD75" s="283">
        <f t="shared" si="46"/>
        <v>952719.56575802783</v>
      </c>
      <c r="AE75" s="285">
        <f t="shared" si="47"/>
        <v>595</v>
      </c>
      <c r="AF75" s="285">
        <f t="shared" si="48"/>
        <v>696791</v>
      </c>
      <c r="AG75" s="295">
        <f t="shared" si="49"/>
        <v>160841</v>
      </c>
    </row>
    <row r="76" spans="1:33" ht="15">
      <c r="A76" s="43">
        <f t="shared" si="1"/>
        <v>50</v>
      </c>
      <c r="B76" s="197">
        <v>2</v>
      </c>
      <c r="C76" s="288" t="s">
        <v>175</v>
      </c>
      <c r="D76" s="293">
        <v>687.38919403029763</v>
      </c>
      <c r="E76" s="293">
        <v>3897.128225748751</v>
      </c>
      <c r="F76" s="293">
        <v>3071.0997928152483</v>
      </c>
      <c r="G76" s="293">
        <v>5</v>
      </c>
      <c r="H76" s="293">
        <v>4903</v>
      </c>
      <c r="I76" s="293">
        <v>358</v>
      </c>
      <c r="J76" s="293">
        <f t="shared" si="26"/>
        <v>687.38919403029763</v>
      </c>
      <c r="K76" s="283">
        <f t="shared" si="27"/>
        <v>3897.128225748751</v>
      </c>
      <c r="L76" s="283">
        <f t="shared" si="28"/>
        <v>3071.0997928152483</v>
      </c>
      <c r="M76" s="285">
        <f t="shared" si="29"/>
        <v>5</v>
      </c>
      <c r="N76" s="285">
        <f t="shared" si="30"/>
        <v>4903</v>
      </c>
      <c r="O76" s="295">
        <f t="shared" si="31"/>
        <v>358</v>
      </c>
      <c r="P76" s="293">
        <f t="shared" si="32"/>
        <v>687.38919403029763</v>
      </c>
      <c r="Q76" s="283">
        <f t="shared" si="33"/>
        <v>3897.128225748751</v>
      </c>
      <c r="R76" s="283">
        <f t="shared" si="34"/>
        <v>3071.0997928152483</v>
      </c>
      <c r="S76" s="285">
        <f t="shared" si="35"/>
        <v>5</v>
      </c>
      <c r="T76" s="285">
        <f t="shared" si="36"/>
        <v>4903</v>
      </c>
      <c r="U76" s="295">
        <f t="shared" si="37"/>
        <v>358</v>
      </c>
      <c r="V76" s="293">
        <f t="shared" si="38"/>
        <v>687.38919403029763</v>
      </c>
      <c r="W76" s="283">
        <f t="shared" si="39"/>
        <v>3897.128225748751</v>
      </c>
      <c r="X76" s="283">
        <f t="shared" si="40"/>
        <v>3071.0997928152483</v>
      </c>
      <c r="Y76" s="285">
        <f t="shared" si="41"/>
        <v>5</v>
      </c>
      <c r="Z76" s="285">
        <f t="shared" si="42"/>
        <v>4903</v>
      </c>
      <c r="AA76" s="295">
        <f t="shared" si="43"/>
        <v>358</v>
      </c>
      <c r="AB76" s="293">
        <f t="shared" si="44"/>
        <v>687.38919403029763</v>
      </c>
      <c r="AC76" s="283">
        <f t="shared" si="45"/>
        <v>3897.128225748751</v>
      </c>
      <c r="AD76" s="283">
        <f t="shared" si="46"/>
        <v>3071.0997928152483</v>
      </c>
      <c r="AE76" s="285">
        <f t="shared" si="47"/>
        <v>5</v>
      </c>
      <c r="AF76" s="285">
        <f t="shared" si="48"/>
        <v>4903</v>
      </c>
      <c r="AG76" s="295">
        <f t="shared" si="49"/>
        <v>358</v>
      </c>
    </row>
    <row r="77" spans="1:33" ht="15">
      <c r="A77" s="43">
        <f t="shared" si="1"/>
        <v>51</v>
      </c>
      <c r="B77" s="197"/>
      <c r="C77" s="287" t="s">
        <v>176</v>
      </c>
      <c r="D77" s="291"/>
      <c r="E77" s="282"/>
      <c r="F77" s="282"/>
      <c r="G77" s="282"/>
      <c r="H77" s="282"/>
      <c r="I77" s="292"/>
      <c r="J77" s="291">
        <f t="shared" si="26"/>
        <v>0</v>
      </c>
      <c r="K77" s="282">
        <f t="shared" si="27"/>
        <v>0</v>
      </c>
      <c r="L77" s="282">
        <f t="shared" si="28"/>
        <v>0</v>
      </c>
      <c r="M77" s="282">
        <f t="shared" si="29"/>
        <v>0</v>
      </c>
      <c r="N77" s="282">
        <f t="shared" si="30"/>
        <v>0</v>
      </c>
      <c r="O77" s="292">
        <f t="shared" si="31"/>
        <v>0</v>
      </c>
      <c r="P77" s="291">
        <f t="shared" si="32"/>
        <v>0</v>
      </c>
      <c r="Q77" s="282">
        <f t="shared" si="33"/>
        <v>0</v>
      </c>
      <c r="R77" s="282">
        <f t="shared" si="34"/>
        <v>0</v>
      </c>
      <c r="S77" s="282">
        <f t="shared" si="35"/>
        <v>0</v>
      </c>
      <c r="T77" s="282">
        <f t="shared" si="36"/>
        <v>0</v>
      </c>
      <c r="U77" s="292">
        <f t="shared" si="37"/>
        <v>0</v>
      </c>
      <c r="V77" s="291">
        <f t="shared" si="38"/>
        <v>0</v>
      </c>
      <c r="W77" s="282">
        <f t="shared" si="39"/>
        <v>0</v>
      </c>
      <c r="X77" s="282">
        <f t="shared" si="40"/>
        <v>0</v>
      </c>
      <c r="Y77" s="282">
        <f t="shared" si="41"/>
        <v>0</v>
      </c>
      <c r="Z77" s="282">
        <f t="shared" si="42"/>
        <v>0</v>
      </c>
      <c r="AA77" s="292">
        <f t="shared" si="43"/>
        <v>0</v>
      </c>
      <c r="AB77" s="291">
        <f t="shared" si="44"/>
        <v>0</v>
      </c>
      <c r="AC77" s="282">
        <f t="shared" si="45"/>
        <v>0</v>
      </c>
      <c r="AD77" s="282">
        <f t="shared" si="46"/>
        <v>0</v>
      </c>
      <c r="AE77" s="282">
        <f t="shared" si="47"/>
        <v>0</v>
      </c>
      <c r="AF77" s="282">
        <f t="shared" si="48"/>
        <v>0</v>
      </c>
      <c r="AG77" s="292">
        <f t="shared" si="49"/>
        <v>0</v>
      </c>
    </row>
    <row r="78" spans="1:33" ht="15">
      <c r="A78" s="43">
        <f t="shared" si="1"/>
        <v>52</v>
      </c>
      <c r="B78" s="197">
        <v>1</v>
      </c>
      <c r="C78" s="288" t="s">
        <v>131</v>
      </c>
      <c r="D78" s="293">
        <v>7597.2957335261272</v>
      </c>
      <c r="E78" s="284"/>
      <c r="F78" s="284"/>
      <c r="G78" s="293">
        <v>514</v>
      </c>
      <c r="H78" s="284"/>
      <c r="I78" s="294"/>
      <c r="J78" s="293">
        <f t="shared" si="26"/>
        <v>7597.2957335261272</v>
      </c>
      <c r="K78" s="284">
        <f t="shared" si="27"/>
        <v>0</v>
      </c>
      <c r="L78" s="284">
        <f t="shared" si="28"/>
        <v>0</v>
      </c>
      <c r="M78" s="285">
        <f t="shared" si="29"/>
        <v>514</v>
      </c>
      <c r="N78" s="284">
        <f t="shared" si="30"/>
        <v>0</v>
      </c>
      <c r="O78" s="294">
        <f t="shared" si="31"/>
        <v>0</v>
      </c>
      <c r="P78" s="293">
        <f t="shared" si="32"/>
        <v>7597.2957335261272</v>
      </c>
      <c r="Q78" s="284">
        <f t="shared" si="33"/>
        <v>0</v>
      </c>
      <c r="R78" s="284">
        <f t="shared" si="34"/>
        <v>0</v>
      </c>
      <c r="S78" s="285">
        <f t="shared" si="35"/>
        <v>514</v>
      </c>
      <c r="T78" s="284">
        <f t="shared" si="36"/>
        <v>0</v>
      </c>
      <c r="U78" s="294">
        <f t="shared" si="37"/>
        <v>0</v>
      </c>
      <c r="V78" s="293">
        <f t="shared" si="38"/>
        <v>7597.2957335261272</v>
      </c>
      <c r="W78" s="284">
        <f t="shared" si="39"/>
        <v>0</v>
      </c>
      <c r="X78" s="284">
        <f t="shared" si="40"/>
        <v>0</v>
      </c>
      <c r="Y78" s="285">
        <f t="shared" si="41"/>
        <v>514</v>
      </c>
      <c r="Z78" s="284">
        <f t="shared" si="42"/>
        <v>0</v>
      </c>
      <c r="AA78" s="294">
        <f t="shared" si="43"/>
        <v>0</v>
      </c>
      <c r="AB78" s="293">
        <f t="shared" si="44"/>
        <v>7597.2957335261272</v>
      </c>
      <c r="AC78" s="284">
        <f t="shared" si="45"/>
        <v>0</v>
      </c>
      <c r="AD78" s="284">
        <f t="shared" si="46"/>
        <v>0</v>
      </c>
      <c r="AE78" s="285">
        <f t="shared" si="47"/>
        <v>514</v>
      </c>
      <c r="AF78" s="284">
        <f t="shared" si="48"/>
        <v>0</v>
      </c>
      <c r="AG78" s="294">
        <f t="shared" si="49"/>
        <v>0</v>
      </c>
    </row>
    <row r="79" spans="1:33" ht="15">
      <c r="A79" s="43">
        <f t="shared" si="1"/>
        <v>53</v>
      </c>
      <c r="B79" s="197">
        <v>1</v>
      </c>
      <c r="C79" s="288" t="s">
        <v>177</v>
      </c>
      <c r="D79" s="293">
        <v>38.57379559770618</v>
      </c>
      <c r="E79" s="284"/>
      <c r="F79" s="284"/>
      <c r="G79" s="293">
        <v>0</v>
      </c>
      <c r="H79" s="284"/>
      <c r="I79" s="294"/>
      <c r="J79" s="293">
        <f t="shared" si="26"/>
        <v>38.57379559770618</v>
      </c>
      <c r="K79" s="284">
        <f t="shared" si="27"/>
        <v>0</v>
      </c>
      <c r="L79" s="284">
        <f t="shared" si="28"/>
        <v>0</v>
      </c>
      <c r="M79" s="285">
        <f t="shared" si="29"/>
        <v>0</v>
      </c>
      <c r="N79" s="284">
        <f t="shared" si="30"/>
        <v>0</v>
      </c>
      <c r="O79" s="294">
        <f t="shared" si="31"/>
        <v>0</v>
      </c>
      <c r="P79" s="293">
        <f t="shared" si="32"/>
        <v>38.57379559770618</v>
      </c>
      <c r="Q79" s="284">
        <f t="shared" si="33"/>
        <v>0</v>
      </c>
      <c r="R79" s="284">
        <f t="shared" si="34"/>
        <v>0</v>
      </c>
      <c r="S79" s="285">
        <f t="shared" si="35"/>
        <v>0</v>
      </c>
      <c r="T79" s="284">
        <f t="shared" si="36"/>
        <v>0</v>
      </c>
      <c r="U79" s="294">
        <f t="shared" si="37"/>
        <v>0</v>
      </c>
      <c r="V79" s="293">
        <f t="shared" si="38"/>
        <v>38.57379559770618</v>
      </c>
      <c r="W79" s="284">
        <f t="shared" si="39"/>
        <v>0</v>
      </c>
      <c r="X79" s="284">
        <f t="shared" si="40"/>
        <v>0</v>
      </c>
      <c r="Y79" s="285">
        <f t="shared" si="41"/>
        <v>0</v>
      </c>
      <c r="Z79" s="284">
        <f t="shared" si="42"/>
        <v>0</v>
      </c>
      <c r="AA79" s="294">
        <f t="shared" si="43"/>
        <v>0</v>
      </c>
      <c r="AB79" s="293">
        <f t="shared" si="44"/>
        <v>38.57379559770618</v>
      </c>
      <c r="AC79" s="284">
        <f t="shared" si="45"/>
        <v>0</v>
      </c>
      <c r="AD79" s="284">
        <f t="shared" si="46"/>
        <v>0</v>
      </c>
      <c r="AE79" s="285">
        <f t="shared" si="47"/>
        <v>0</v>
      </c>
      <c r="AF79" s="284">
        <f t="shared" si="48"/>
        <v>0</v>
      </c>
      <c r="AG79" s="294">
        <f t="shared" si="49"/>
        <v>0</v>
      </c>
    </row>
    <row r="80" spans="1:33" ht="15">
      <c r="A80" s="43">
        <f t="shared" si="1"/>
        <v>54</v>
      </c>
      <c r="B80" s="197">
        <v>1</v>
      </c>
      <c r="C80" s="288" t="s">
        <v>178</v>
      </c>
      <c r="D80" s="293">
        <v>180.42533538088671</v>
      </c>
      <c r="E80" s="284"/>
      <c r="F80" s="284"/>
      <c r="G80" s="293">
        <v>0</v>
      </c>
      <c r="H80" s="284"/>
      <c r="I80" s="294"/>
      <c r="J80" s="293">
        <f t="shared" si="26"/>
        <v>180.42533538088671</v>
      </c>
      <c r="K80" s="284">
        <f t="shared" si="27"/>
        <v>0</v>
      </c>
      <c r="L80" s="284">
        <f t="shared" si="28"/>
        <v>0</v>
      </c>
      <c r="M80" s="285">
        <f t="shared" si="29"/>
        <v>0</v>
      </c>
      <c r="N80" s="284">
        <f t="shared" si="30"/>
        <v>0</v>
      </c>
      <c r="O80" s="294">
        <f t="shared" si="31"/>
        <v>0</v>
      </c>
      <c r="P80" s="293">
        <f t="shared" si="32"/>
        <v>180.42533538088671</v>
      </c>
      <c r="Q80" s="284">
        <f t="shared" si="33"/>
        <v>0</v>
      </c>
      <c r="R80" s="284">
        <f t="shared" si="34"/>
        <v>0</v>
      </c>
      <c r="S80" s="285">
        <f t="shared" si="35"/>
        <v>0</v>
      </c>
      <c r="T80" s="284">
        <f t="shared" si="36"/>
        <v>0</v>
      </c>
      <c r="U80" s="294">
        <f t="shared" si="37"/>
        <v>0</v>
      </c>
      <c r="V80" s="293">
        <f t="shared" si="38"/>
        <v>180.42533538088671</v>
      </c>
      <c r="W80" s="284">
        <f t="shared" si="39"/>
        <v>0</v>
      </c>
      <c r="X80" s="284">
        <f t="shared" si="40"/>
        <v>0</v>
      </c>
      <c r="Y80" s="285">
        <f t="shared" si="41"/>
        <v>0</v>
      </c>
      <c r="Z80" s="284">
        <f t="shared" si="42"/>
        <v>0</v>
      </c>
      <c r="AA80" s="294">
        <f t="shared" si="43"/>
        <v>0</v>
      </c>
      <c r="AB80" s="293">
        <f t="shared" si="44"/>
        <v>180.42533538088671</v>
      </c>
      <c r="AC80" s="284">
        <f t="shared" si="45"/>
        <v>0</v>
      </c>
      <c r="AD80" s="284">
        <f t="shared" si="46"/>
        <v>0</v>
      </c>
      <c r="AE80" s="285">
        <f t="shared" si="47"/>
        <v>0</v>
      </c>
      <c r="AF80" s="284">
        <f t="shared" si="48"/>
        <v>0</v>
      </c>
      <c r="AG80" s="294">
        <f t="shared" si="49"/>
        <v>0</v>
      </c>
    </row>
    <row r="81" spans="1:33" ht="15">
      <c r="A81" s="43">
        <f t="shared" si="1"/>
        <v>55</v>
      </c>
      <c r="B81" s="197"/>
      <c r="C81" s="287" t="s">
        <v>179</v>
      </c>
      <c r="D81" s="291"/>
      <c r="E81" s="282"/>
      <c r="F81" s="282"/>
      <c r="G81" s="282"/>
      <c r="H81" s="282"/>
      <c r="I81" s="292"/>
      <c r="J81" s="291">
        <f t="shared" si="26"/>
        <v>0</v>
      </c>
      <c r="K81" s="282">
        <f t="shared" si="27"/>
        <v>0</v>
      </c>
      <c r="L81" s="282">
        <f t="shared" si="28"/>
        <v>0</v>
      </c>
      <c r="M81" s="282">
        <f t="shared" si="29"/>
        <v>0</v>
      </c>
      <c r="N81" s="282">
        <f t="shared" si="30"/>
        <v>0</v>
      </c>
      <c r="O81" s="292">
        <f t="shared" si="31"/>
        <v>0</v>
      </c>
      <c r="P81" s="291">
        <f t="shared" si="32"/>
        <v>0</v>
      </c>
      <c r="Q81" s="282">
        <f t="shared" si="33"/>
        <v>0</v>
      </c>
      <c r="R81" s="282">
        <f t="shared" si="34"/>
        <v>0</v>
      </c>
      <c r="S81" s="282">
        <f t="shared" si="35"/>
        <v>0</v>
      </c>
      <c r="T81" s="282">
        <f t="shared" si="36"/>
        <v>0</v>
      </c>
      <c r="U81" s="292">
        <f t="shared" si="37"/>
        <v>0</v>
      </c>
      <c r="V81" s="291">
        <f t="shared" si="38"/>
        <v>0</v>
      </c>
      <c r="W81" s="282">
        <f t="shared" si="39"/>
        <v>0</v>
      </c>
      <c r="X81" s="282">
        <f t="shared" si="40"/>
        <v>0</v>
      </c>
      <c r="Y81" s="282">
        <f t="shared" si="41"/>
        <v>0</v>
      </c>
      <c r="Z81" s="282">
        <f t="shared" si="42"/>
        <v>0</v>
      </c>
      <c r="AA81" s="292">
        <f t="shared" si="43"/>
        <v>0</v>
      </c>
      <c r="AB81" s="291">
        <f t="shared" si="44"/>
        <v>0</v>
      </c>
      <c r="AC81" s="282">
        <f t="shared" si="45"/>
        <v>0</v>
      </c>
      <c r="AD81" s="282">
        <f t="shared" si="46"/>
        <v>0</v>
      </c>
      <c r="AE81" s="282">
        <f t="shared" si="47"/>
        <v>0</v>
      </c>
      <c r="AF81" s="282">
        <f t="shared" si="48"/>
        <v>0</v>
      </c>
      <c r="AG81" s="292">
        <f t="shared" si="49"/>
        <v>0</v>
      </c>
    </row>
    <row r="82" spans="1:33" ht="15">
      <c r="A82" s="43">
        <f t="shared" si="1"/>
        <v>56</v>
      </c>
      <c r="B82" s="197">
        <v>1</v>
      </c>
      <c r="C82" s="288" t="s">
        <v>132</v>
      </c>
      <c r="D82" s="293">
        <v>5952.5744876907111</v>
      </c>
      <c r="E82" s="284"/>
      <c r="F82" s="284"/>
      <c r="G82" s="293">
        <v>749</v>
      </c>
      <c r="H82" s="284"/>
      <c r="I82" s="294"/>
      <c r="J82" s="293">
        <f t="shared" si="26"/>
        <v>5952.5744876907111</v>
      </c>
      <c r="K82" s="284">
        <f t="shared" si="27"/>
        <v>0</v>
      </c>
      <c r="L82" s="284">
        <f t="shared" si="28"/>
        <v>0</v>
      </c>
      <c r="M82" s="285">
        <f t="shared" si="29"/>
        <v>749</v>
      </c>
      <c r="N82" s="284">
        <f t="shared" si="30"/>
        <v>0</v>
      </c>
      <c r="O82" s="294">
        <f t="shared" si="31"/>
        <v>0</v>
      </c>
      <c r="P82" s="293">
        <f t="shared" si="32"/>
        <v>5952.5744876907111</v>
      </c>
      <c r="Q82" s="284">
        <f t="shared" si="33"/>
        <v>0</v>
      </c>
      <c r="R82" s="284">
        <f t="shared" si="34"/>
        <v>0</v>
      </c>
      <c r="S82" s="285">
        <f t="shared" si="35"/>
        <v>749</v>
      </c>
      <c r="T82" s="284">
        <f t="shared" si="36"/>
        <v>0</v>
      </c>
      <c r="U82" s="294">
        <f t="shared" si="37"/>
        <v>0</v>
      </c>
      <c r="V82" s="293">
        <f t="shared" si="38"/>
        <v>5952.5744876907111</v>
      </c>
      <c r="W82" s="284">
        <f t="shared" si="39"/>
        <v>0</v>
      </c>
      <c r="X82" s="284">
        <f t="shared" si="40"/>
        <v>0</v>
      </c>
      <c r="Y82" s="285">
        <f t="shared" si="41"/>
        <v>749</v>
      </c>
      <c r="Z82" s="284">
        <f t="shared" si="42"/>
        <v>0</v>
      </c>
      <c r="AA82" s="294">
        <f t="shared" si="43"/>
        <v>0</v>
      </c>
      <c r="AB82" s="293">
        <f t="shared" si="44"/>
        <v>5952.5744876907111</v>
      </c>
      <c r="AC82" s="284">
        <f t="shared" si="45"/>
        <v>0</v>
      </c>
      <c r="AD82" s="284">
        <f t="shared" si="46"/>
        <v>0</v>
      </c>
      <c r="AE82" s="285">
        <f t="shared" si="47"/>
        <v>749</v>
      </c>
      <c r="AF82" s="284">
        <f t="shared" si="48"/>
        <v>0</v>
      </c>
      <c r="AG82" s="294">
        <f t="shared" si="49"/>
        <v>0</v>
      </c>
    </row>
    <row r="83" spans="1:33" ht="15">
      <c r="A83" s="43">
        <f t="shared" si="1"/>
        <v>57</v>
      </c>
      <c r="B83" s="197">
        <v>1</v>
      </c>
      <c r="C83" s="288" t="s">
        <v>180</v>
      </c>
      <c r="D83" s="293">
        <v>5.4179338644077735</v>
      </c>
      <c r="E83" s="284"/>
      <c r="F83" s="284"/>
      <c r="G83" s="293">
        <v>0</v>
      </c>
      <c r="H83" s="284"/>
      <c r="I83" s="294"/>
      <c r="J83" s="293">
        <f t="shared" si="26"/>
        <v>5.4179338644077735</v>
      </c>
      <c r="K83" s="284">
        <f t="shared" si="27"/>
        <v>0</v>
      </c>
      <c r="L83" s="284">
        <f t="shared" si="28"/>
        <v>0</v>
      </c>
      <c r="M83" s="285">
        <f t="shared" si="29"/>
        <v>0</v>
      </c>
      <c r="N83" s="284">
        <f t="shared" si="30"/>
        <v>0</v>
      </c>
      <c r="O83" s="294">
        <f t="shared" si="31"/>
        <v>0</v>
      </c>
      <c r="P83" s="293">
        <f t="shared" si="32"/>
        <v>5.4179338644077735</v>
      </c>
      <c r="Q83" s="284">
        <f t="shared" si="33"/>
        <v>0</v>
      </c>
      <c r="R83" s="284">
        <f t="shared" si="34"/>
        <v>0</v>
      </c>
      <c r="S83" s="285">
        <f t="shared" si="35"/>
        <v>0</v>
      </c>
      <c r="T83" s="284">
        <f t="shared" si="36"/>
        <v>0</v>
      </c>
      <c r="U83" s="294">
        <f t="shared" si="37"/>
        <v>0</v>
      </c>
      <c r="V83" s="293">
        <f t="shared" si="38"/>
        <v>5.4179338644077735</v>
      </c>
      <c r="W83" s="284">
        <f t="shared" si="39"/>
        <v>0</v>
      </c>
      <c r="X83" s="284">
        <f t="shared" si="40"/>
        <v>0</v>
      </c>
      <c r="Y83" s="285">
        <f t="shared" si="41"/>
        <v>0</v>
      </c>
      <c r="Z83" s="284">
        <f t="shared" si="42"/>
        <v>0</v>
      </c>
      <c r="AA83" s="294">
        <f t="shared" si="43"/>
        <v>0</v>
      </c>
      <c r="AB83" s="293">
        <f t="shared" si="44"/>
        <v>5.4179338644077735</v>
      </c>
      <c r="AC83" s="284">
        <f t="shared" si="45"/>
        <v>0</v>
      </c>
      <c r="AD83" s="284">
        <f t="shared" si="46"/>
        <v>0</v>
      </c>
      <c r="AE83" s="285">
        <f t="shared" si="47"/>
        <v>0</v>
      </c>
      <c r="AF83" s="284">
        <f t="shared" si="48"/>
        <v>0</v>
      </c>
      <c r="AG83" s="294">
        <f t="shared" si="49"/>
        <v>0</v>
      </c>
    </row>
    <row r="84" spans="1:33" ht="15">
      <c r="A84" s="43">
        <f t="shared" si="1"/>
        <v>58</v>
      </c>
      <c r="B84" s="197">
        <v>1</v>
      </c>
      <c r="C84" s="288" t="s">
        <v>181</v>
      </c>
      <c r="D84" s="293">
        <v>258.82704553611961</v>
      </c>
      <c r="E84" s="284"/>
      <c r="F84" s="284"/>
      <c r="G84" s="293">
        <v>0</v>
      </c>
      <c r="H84" s="284"/>
      <c r="I84" s="294"/>
      <c r="J84" s="293">
        <f t="shared" si="26"/>
        <v>258.82704553611961</v>
      </c>
      <c r="K84" s="284">
        <f t="shared" si="27"/>
        <v>0</v>
      </c>
      <c r="L84" s="284">
        <f t="shared" si="28"/>
        <v>0</v>
      </c>
      <c r="M84" s="285">
        <f t="shared" si="29"/>
        <v>0</v>
      </c>
      <c r="N84" s="284">
        <f t="shared" si="30"/>
        <v>0</v>
      </c>
      <c r="O84" s="294">
        <f t="shared" si="31"/>
        <v>0</v>
      </c>
      <c r="P84" s="293">
        <f t="shared" si="32"/>
        <v>258.82704553611961</v>
      </c>
      <c r="Q84" s="284">
        <f t="shared" si="33"/>
        <v>0</v>
      </c>
      <c r="R84" s="284">
        <f t="shared" si="34"/>
        <v>0</v>
      </c>
      <c r="S84" s="285">
        <f t="shared" si="35"/>
        <v>0</v>
      </c>
      <c r="T84" s="284">
        <f t="shared" si="36"/>
        <v>0</v>
      </c>
      <c r="U84" s="294">
        <f t="shared" si="37"/>
        <v>0</v>
      </c>
      <c r="V84" s="293">
        <f t="shared" si="38"/>
        <v>258.82704553611961</v>
      </c>
      <c r="W84" s="284">
        <f t="shared" si="39"/>
        <v>0</v>
      </c>
      <c r="X84" s="284">
        <f t="shared" si="40"/>
        <v>0</v>
      </c>
      <c r="Y84" s="285">
        <f t="shared" si="41"/>
        <v>0</v>
      </c>
      <c r="Z84" s="284">
        <f t="shared" si="42"/>
        <v>0</v>
      </c>
      <c r="AA84" s="294">
        <f t="shared" si="43"/>
        <v>0</v>
      </c>
      <c r="AB84" s="293">
        <f t="shared" si="44"/>
        <v>258.82704553611961</v>
      </c>
      <c r="AC84" s="284">
        <f t="shared" si="45"/>
        <v>0</v>
      </c>
      <c r="AD84" s="284">
        <f t="shared" si="46"/>
        <v>0</v>
      </c>
      <c r="AE84" s="285">
        <f t="shared" si="47"/>
        <v>0</v>
      </c>
      <c r="AF84" s="284">
        <f t="shared" si="48"/>
        <v>0</v>
      </c>
      <c r="AG84" s="294">
        <f t="shared" si="49"/>
        <v>0</v>
      </c>
    </row>
    <row r="85" spans="1:33" ht="15">
      <c r="A85" s="43">
        <f t="shared" si="1"/>
        <v>59</v>
      </c>
      <c r="B85" s="197"/>
      <c r="C85" s="287" t="s">
        <v>182</v>
      </c>
      <c r="D85" s="291"/>
      <c r="E85" s="282"/>
      <c r="F85" s="282"/>
      <c r="G85" s="282"/>
      <c r="H85" s="282"/>
      <c r="I85" s="292"/>
      <c r="J85" s="291">
        <f t="shared" si="26"/>
        <v>0</v>
      </c>
      <c r="K85" s="282">
        <f t="shared" si="27"/>
        <v>0</v>
      </c>
      <c r="L85" s="282">
        <f t="shared" si="28"/>
        <v>0</v>
      </c>
      <c r="M85" s="282">
        <f t="shared" si="29"/>
        <v>0</v>
      </c>
      <c r="N85" s="282">
        <f t="shared" si="30"/>
        <v>0</v>
      </c>
      <c r="O85" s="292">
        <f t="shared" si="31"/>
        <v>0</v>
      </c>
      <c r="P85" s="291">
        <f t="shared" si="32"/>
        <v>0</v>
      </c>
      <c r="Q85" s="282">
        <f t="shared" si="33"/>
        <v>0</v>
      </c>
      <c r="R85" s="282">
        <f t="shared" si="34"/>
        <v>0</v>
      </c>
      <c r="S85" s="282">
        <f t="shared" si="35"/>
        <v>0</v>
      </c>
      <c r="T85" s="282">
        <f t="shared" si="36"/>
        <v>0</v>
      </c>
      <c r="U85" s="292">
        <f t="shared" si="37"/>
        <v>0</v>
      </c>
      <c r="V85" s="291">
        <f t="shared" si="38"/>
        <v>0</v>
      </c>
      <c r="W85" s="282">
        <f t="shared" si="39"/>
        <v>0</v>
      </c>
      <c r="X85" s="282">
        <f t="shared" si="40"/>
        <v>0</v>
      </c>
      <c r="Y85" s="282">
        <f t="shared" si="41"/>
        <v>0</v>
      </c>
      <c r="Z85" s="282">
        <f t="shared" si="42"/>
        <v>0</v>
      </c>
      <c r="AA85" s="292">
        <f t="shared" si="43"/>
        <v>0</v>
      </c>
      <c r="AB85" s="291">
        <f t="shared" si="44"/>
        <v>0</v>
      </c>
      <c r="AC85" s="282">
        <f t="shared" si="45"/>
        <v>0</v>
      </c>
      <c r="AD85" s="282">
        <f t="shared" si="46"/>
        <v>0</v>
      </c>
      <c r="AE85" s="282">
        <f t="shared" si="47"/>
        <v>0</v>
      </c>
      <c r="AF85" s="282">
        <f t="shared" si="48"/>
        <v>0</v>
      </c>
      <c r="AG85" s="292">
        <f t="shared" si="49"/>
        <v>0</v>
      </c>
    </row>
    <row r="86" spans="1:33" ht="15">
      <c r="A86" s="43">
        <f t="shared" si="1"/>
        <v>60</v>
      </c>
      <c r="B86" s="197">
        <v>1</v>
      </c>
      <c r="C86" s="288" t="s">
        <v>133</v>
      </c>
      <c r="D86" s="293">
        <v>378.27038018128798</v>
      </c>
      <c r="E86" s="284"/>
      <c r="F86" s="284"/>
      <c r="G86" s="293">
        <v>84</v>
      </c>
      <c r="H86" s="284"/>
      <c r="I86" s="294"/>
      <c r="J86" s="293">
        <f t="shared" si="26"/>
        <v>378.27038018128798</v>
      </c>
      <c r="K86" s="284">
        <f t="shared" si="27"/>
        <v>0</v>
      </c>
      <c r="L86" s="284">
        <f t="shared" si="28"/>
        <v>0</v>
      </c>
      <c r="M86" s="285">
        <f t="shared" si="29"/>
        <v>84</v>
      </c>
      <c r="N86" s="284">
        <f t="shared" si="30"/>
        <v>0</v>
      </c>
      <c r="O86" s="294">
        <f t="shared" si="31"/>
        <v>0</v>
      </c>
      <c r="P86" s="293">
        <f t="shared" si="32"/>
        <v>378.27038018128798</v>
      </c>
      <c r="Q86" s="284">
        <f t="shared" si="33"/>
        <v>0</v>
      </c>
      <c r="R86" s="284">
        <f t="shared" si="34"/>
        <v>0</v>
      </c>
      <c r="S86" s="285">
        <f t="shared" si="35"/>
        <v>84</v>
      </c>
      <c r="T86" s="284">
        <f t="shared" si="36"/>
        <v>0</v>
      </c>
      <c r="U86" s="294">
        <f t="shared" si="37"/>
        <v>0</v>
      </c>
      <c r="V86" s="293">
        <f t="shared" si="38"/>
        <v>378.27038018128798</v>
      </c>
      <c r="W86" s="284">
        <f t="shared" si="39"/>
        <v>0</v>
      </c>
      <c r="X86" s="284">
        <f t="shared" si="40"/>
        <v>0</v>
      </c>
      <c r="Y86" s="285">
        <f t="shared" si="41"/>
        <v>84</v>
      </c>
      <c r="Z86" s="284">
        <f t="shared" si="42"/>
        <v>0</v>
      </c>
      <c r="AA86" s="294">
        <f t="shared" si="43"/>
        <v>0</v>
      </c>
      <c r="AB86" s="293">
        <f t="shared" si="44"/>
        <v>378.27038018128798</v>
      </c>
      <c r="AC86" s="284">
        <f t="shared" si="45"/>
        <v>0</v>
      </c>
      <c r="AD86" s="284">
        <f t="shared" si="46"/>
        <v>0</v>
      </c>
      <c r="AE86" s="285">
        <f t="shared" si="47"/>
        <v>84</v>
      </c>
      <c r="AF86" s="284">
        <f t="shared" si="48"/>
        <v>0</v>
      </c>
      <c r="AG86" s="294">
        <f t="shared" si="49"/>
        <v>0</v>
      </c>
    </row>
    <row r="87" spans="1:33" ht="15">
      <c r="A87" s="43">
        <f t="shared" si="1"/>
        <v>61</v>
      </c>
      <c r="B87" s="197">
        <v>1</v>
      </c>
      <c r="C87" s="288" t="s">
        <v>183</v>
      </c>
      <c r="D87" s="293">
        <v>0</v>
      </c>
      <c r="E87" s="284"/>
      <c r="F87" s="284"/>
      <c r="G87" s="293">
        <v>0</v>
      </c>
      <c r="H87" s="284"/>
      <c r="I87" s="294"/>
      <c r="J87" s="293">
        <f t="shared" si="26"/>
        <v>0</v>
      </c>
      <c r="K87" s="284">
        <f t="shared" si="27"/>
        <v>0</v>
      </c>
      <c r="L87" s="284">
        <f t="shared" si="28"/>
        <v>0</v>
      </c>
      <c r="M87" s="285">
        <f t="shared" si="29"/>
        <v>0</v>
      </c>
      <c r="N87" s="284">
        <f t="shared" si="30"/>
        <v>0</v>
      </c>
      <c r="O87" s="294">
        <f t="shared" si="31"/>
        <v>0</v>
      </c>
      <c r="P87" s="293">
        <f t="shared" si="32"/>
        <v>0</v>
      </c>
      <c r="Q87" s="284">
        <f t="shared" si="33"/>
        <v>0</v>
      </c>
      <c r="R87" s="284">
        <f t="shared" si="34"/>
        <v>0</v>
      </c>
      <c r="S87" s="285">
        <f t="shared" si="35"/>
        <v>0</v>
      </c>
      <c r="T87" s="284">
        <f t="shared" si="36"/>
        <v>0</v>
      </c>
      <c r="U87" s="294">
        <f t="shared" si="37"/>
        <v>0</v>
      </c>
      <c r="V87" s="293">
        <f t="shared" si="38"/>
        <v>0</v>
      </c>
      <c r="W87" s="284">
        <f t="shared" si="39"/>
        <v>0</v>
      </c>
      <c r="X87" s="284">
        <f t="shared" si="40"/>
        <v>0</v>
      </c>
      <c r="Y87" s="285">
        <f t="shared" si="41"/>
        <v>0</v>
      </c>
      <c r="Z87" s="284">
        <f t="shared" si="42"/>
        <v>0</v>
      </c>
      <c r="AA87" s="294">
        <f t="shared" si="43"/>
        <v>0</v>
      </c>
      <c r="AB87" s="293">
        <f t="shared" si="44"/>
        <v>0</v>
      </c>
      <c r="AC87" s="284">
        <f t="shared" si="45"/>
        <v>0</v>
      </c>
      <c r="AD87" s="284">
        <f t="shared" si="46"/>
        <v>0</v>
      </c>
      <c r="AE87" s="285">
        <f t="shared" si="47"/>
        <v>0</v>
      </c>
      <c r="AF87" s="284">
        <f t="shared" si="48"/>
        <v>0</v>
      </c>
      <c r="AG87" s="294">
        <f t="shared" si="49"/>
        <v>0</v>
      </c>
    </row>
    <row r="88" spans="1:33" ht="15">
      <c r="A88" s="43">
        <f t="shared" si="1"/>
        <v>62</v>
      </c>
      <c r="B88" s="197">
        <v>1</v>
      </c>
      <c r="C88" s="288" t="s">
        <v>184</v>
      </c>
      <c r="D88" s="293">
        <v>0</v>
      </c>
      <c r="E88" s="284"/>
      <c r="F88" s="284"/>
      <c r="G88" s="293">
        <v>0</v>
      </c>
      <c r="H88" s="284"/>
      <c r="I88" s="294"/>
      <c r="J88" s="293">
        <f t="shared" si="26"/>
        <v>0</v>
      </c>
      <c r="K88" s="284">
        <f t="shared" si="27"/>
        <v>0</v>
      </c>
      <c r="L88" s="284">
        <f t="shared" si="28"/>
        <v>0</v>
      </c>
      <c r="M88" s="285">
        <f t="shared" si="29"/>
        <v>0</v>
      </c>
      <c r="N88" s="284">
        <f t="shared" si="30"/>
        <v>0</v>
      </c>
      <c r="O88" s="294">
        <f t="shared" si="31"/>
        <v>0</v>
      </c>
      <c r="P88" s="293">
        <f t="shared" si="32"/>
        <v>0</v>
      </c>
      <c r="Q88" s="284">
        <f t="shared" si="33"/>
        <v>0</v>
      </c>
      <c r="R88" s="284">
        <f t="shared" si="34"/>
        <v>0</v>
      </c>
      <c r="S88" s="285">
        <f t="shared" si="35"/>
        <v>0</v>
      </c>
      <c r="T88" s="284">
        <f t="shared" si="36"/>
        <v>0</v>
      </c>
      <c r="U88" s="294">
        <f t="shared" si="37"/>
        <v>0</v>
      </c>
      <c r="V88" s="293">
        <f t="shared" si="38"/>
        <v>0</v>
      </c>
      <c r="W88" s="284">
        <f t="shared" si="39"/>
        <v>0</v>
      </c>
      <c r="X88" s="284">
        <f t="shared" si="40"/>
        <v>0</v>
      </c>
      <c r="Y88" s="285">
        <f t="shared" si="41"/>
        <v>0</v>
      </c>
      <c r="Z88" s="284">
        <f t="shared" si="42"/>
        <v>0</v>
      </c>
      <c r="AA88" s="294">
        <f t="shared" si="43"/>
        <v>0</v>
      </c>
      <c r="AB88" s="293">
        <f t="shared" si="44"/>
        <v>0</v>
      </c>
      <c r="AC88" s="284">
        <f t="shared" si="45"/>
        <v>0</v>
      </c>
      <c r="AD88" s="284">
        <f t="shared" si="46"/>
        <v>0</v>
      </c>
      <c r="AE88" s="285">
        <f t="shared" si="47"/>
        <v>0</v>
      </c>
      <c r="AF88" s="284">
        <f t="shared" si="48"/>
        <v>0</v>
      </c>
      <c r="AG88" s="294">
        <f t="shared" si="49"/>
        <v>0</v>
      </c>
    </row>
    <row r="89" spans="1:33" ht="15">
      <c r="A89" s="43">
        <f t="shared" si="1"/>
        <v>63</v>
      </c>
      <c r="B89" s="197"/>
      <c r="C89" s="287" t="s">
        <v>185</v>
      </c>
      <c r="D89" s="291"/>
      <c r="E89" s="282"/>
      <c r="F89" s="282"/>
      <c r="G89" s="282"/>
      <c r="H89" s="282"/>
      <c r="I89" s="292"/>
      <c r="J89" s="291">
        <f t="shared" si="26"/>
        <v>0</v>
      </c>
      <c r="K89" s="282">
        <f t="shared" si="27"/>
        <v>0</v>
      </c>
      <c r="L89" s="282">
        <f t="shared" si="28"/>
        <v>0</v>
      </c>
      <c r="M89" s="282">
        <f t="shared" si="29"/>
        <v>0</v>
      </c>
      <c r="N89" s="282">
        <f t="shared" si="30"/>
        <v>0</v>
      </c>
      <c r="O89" s="292">
        <f t="shared" si="31"/>
        <v>0</v>
      </c>
      <c r="P89" s="291">
        <f t="shared" si="32"/>
        <v>0</v>
      </c>
      <c r="Q89" s="282">
        <f t="shared" si="33"/>
        <v>0</v>
      </c>
      <c r="R89" s="282">
        <f t="shared" si="34"/>
        <v>0</v>
      </c>
      <c r="S89" s="282">
        <f t="shared" si="35"/>
        <v>0</v>
      </c>
      <c r="T89" s="282">
        <f t="shared" si="36"/>
        <v>0</v>
      </c>
      <c r="U89" s="292">
        <f t="shared" si="37"/>
        <v>0</v>
      </c>
      <c r="V89" s="291">
        <f t="shared" si="38"/>
        <v>0</v>
      </c>
      <c r="W89" s="282">
        <f t="shared" si="39"/>
        <v>0</v>
      </c>
      <c r="X89" s="282">
        <f t="shared" si="40"/>
        <v>0</v>
      </c>
      <c r="Y89" s="282">
        <f t="shared" si="41"/>
        <v>0</v>
      </c>
      <c r="Z89" s="282">
        <f t="shared" si="42"/>
        <v>0</v>
      </c>
      <c r="AA89" s="292">
        <f t="shared" si="43"/>
        <v>0</v>
      </c>
      <c r="AB89" s="291">
        <f t="shared" si="44"/>
        <v>0</v>
      </c>
      <c r="AC89" s="282">
        <f t="shared" si="45"/>
        <v>0</v>
      </c>
      <c r="AD89" s="282">
        <f t="shared" si="46"/>
        <v>0</v>
      </c>
      <c r="AE89" s="282">
        <f t="shared" si="47"/>
        <v>0</v>
      </c>
      <c r="AF89" s="282">
        <f t="shared" si="48"/>
        <v>0</v>
      </c>
      <c r="AG89" s="292">
        <f t="shared" si="49"/>
        <v>0</v>
      </c>
    </row>
    <row r="90" spans="1:33" ht="15">
      <c r="A90" s="43">
        <f t="shared" si="1"/>
        <v>64</v>
      </c>
      <c r="B90" s="197">
        <v>1</v>
      </c>
      <c r="C90" s="288" t="s">
        <v>134</v>
      </c>
      <c r="D90" s="293">
        <v>0</v>
      </c>
      <c r="E90" s="284"/>
      <c r="F90" s="284"/>
      <c r="G90" s="293">
        <v>1</v>
      </c>
      <c r="H90" s="284"/>
      <c r="I90" s="294"/>
      <c r="J90" s="293">
        <f t="shared" si="26"/>
        <v>0</v>
      </c>
      <c r="K90" s="284">
        <f t="shared" si="27"/>
        <v>0</v>
      </c>
      <c r="L90" s="284">
        <f t="shared" si="28"/>
        <v>0</v>
      </c>
      <c r="M90" s="285">
        <f t="shared" si="29"/>
        <v>1</v>
      </c>
      <c r="N90" s="284">
        <f t="shared" si="30"/>
        <v>0</v>
      </c>
      <c r="O90" s="294">
        <f t="shared" si="31"/>
        <v>0</v>
      </c>
      <c r="P90" s="293">
        <f t="shared" si="32"/>
        <v>0</v>
      </c>
      <c r="Q90" s="284">
        <f t="shared" si="33"/>
        <v>0</v>
      </c>
      <c r="R90" s="284">
        <f t="shared" si="34"/>
        <v>0</v>
      </c>
      <c r="S90" s="285">
        <f t="shared" si="35"/>
        <v>1</v>
      </c>
      <c r="T90" s="284">
        <f t="shared" si="36"/>
        <v>0</v>
      </c>
      <c r="U90" s="294">
        <f t="shared" si="37"/>
        <v>0</v>
      </c>
      <c r="V90" s="293">
        <f t="shared" si="38"/>
        <v>0</v>
      </c>
      <c r="W90" s="284">
        <f t="shared" si="39"/>
        <v>0</v>
      </c>
      <c r="X90" s="284">
        <f t="shared" si="40"/>
        <v>0</v>
      </c>
      <c r="Y90" s="285">
        <f t="shared" si="41"/>
        <v>1</v>
      </c>
      <c r="Z90" s="284">
        <f t="shared" si="42"/>
        <v>0</v>
      </c>
      <c r="AA90" s="294">
        <f t="shared" si="43"/>
        <v>0</v>
      </c>
      <c r="AB90" s="293">
        <f t="shared" si="44"/>
        <v>0</v>
      </c>
      <c r="AC90" s="284">
        <f t="shared" si="45"/>
        <v>0</v>
      </c>
      <c r="AD90" s="284">
        <f t="shared" si="46"/>
        <v>0</v>
      </c>
      <c r="AE90" s="285">
        <f t="shared" si="47"/>
        <v>1</v>
      </c>
      <c r="AF90" s="284">
        <f t="shared" si="48"/>
        <v>0</v>
      </c>
      <c r="AG90" s="294">
        <f t="shared" si="49"/>
        <v>0</v>
      </c>
    </row>
    <row r="91" spans="1:33" ht="15">
      <c r="A91" s="43">
        <f t="shared" si="1"/>
        <v>65</v>
      </c>
      <c r="B91" s="197">
        <v>1</v>
      </c>
      <c r="C91" s="288" t="s">
        <v>186</v>
      </c>
      <c r="D91" s="293">
        <v>0</v>
      </c>
      <c r="E91" s="284"/>
      <c r="F91" s="284"/>
      <c r="G91" s="293">
        <v>0</v>
      </c>
      <c r="H91" s="284"/>
      <c r="I91" s="294"/>
      <c r="J91" s="293">
        <f t="shared" si="26"/>
        <v>0</v>
      </c>
      <c r="K91" s="284">
        <f t="shared" si="27"/>
        <v>0</v>
      </c>
      <c r="L91" s="284">
        <f t="shared" si="28"/>
        <v>0</v>
      </c>
      <c r="M91" s="285">
        <f t="shared" si="29"/>
        <v>0</v>
      </c>
      <c r="N91" s="284">
        <f t="shared" si="30"/>
        <v>0</v>
      </c>
      <c r="O91" s="294">
        <f t="shared" si="31"/>
        <v>0</v>
      </c>
      <c r="P91" s="293">
        <f t="shared" si="32"/>
        <v>0</v>
      </c>
      <c r="Q91" s="284">
        <f t="shared" si="33"/>
        <v>0</v>
      </c>
      <c r="R91" s="284">
        <f t="shared" si="34"/>
        <v>0</v>
      </c>
      <c r="S91" s="285">
        <f t="shared" si="35"/>
        <v>0</v>
      </c>
      <c r="T91" s="284">
        <f t="shared" si="36"/>
        <v>0</v>
      </c>
      <c r="U91" s="294">
        <f t="shared" si="37"/>
        <v>0</v>
      </c>
      <c r="V91" s="293">
        <f t="shared" si="38"/>
        <v>0</v>
      </c>
      <c r="W91" s="284">
        <f t="shared" si="39"/>
        <v>0</v>
      </c>
      <c r="X91" s="284">
        <f t="shared" si="40"/>
        <v>0</v>
      </c>
      <c r="Y91" s="285">
        <f t="shared" si="41"/>
        <v>0</v>
      </c>
      <c r="Z91" s="284">
        <f t="shared" si="42"/>
        <v>0</v>
      </c>
      <c r="AA91" s="294">
        <f t="shared" si="43"/>
        <v>0</v>
      </c>
      <c r="AB91" s="293">
        <f t="shared" si="44"/>
        <v>0</v>
      </c>
      <c r="AC91" s="284">
        <f t="shared" si="45"/>
        <v>0</v>
      </c>
      <c r="AD91" s="284">
        <f t="shared" si="46"/>
        <v>0</v>
      </c>
      <c r="AE91" s="285">
        <f t="shared" si="47"/>
        <v>0</v>
      </c>
      <c r="AF91" s="284">
        <f t="shared" si="48"/>
        <v>0</v>
      </c>
      <c r="AG91" s="294">
        <f t="shared" si="49"/>
        <v>0</v>
      </c>
    </row>
    <row r="92" spans="1:33" ht="15">
      <c r="A92" s="43">
        <f t="shared" si="1"/>
        <v>66</v>
      </c>
      <c r="B92" s="197">
        <v>1</v>
      </c>
      <c r="C92" s="288" t="s">
        <v>187</v>
      </c>
      <c r="D92" s="293">
        <v>0</v>
      </c>
      <c r="E92" s="284"/>
      <c r="F92" s="284"/>
      <c r="G92" s="293">
        <v>0</v>
      </c>
      <c r="H92" s="284"/>
      <c r="I92" s="294"/>
      <c r="J92" s="293">
        <f t="shared" si="26"/>
        <v>0</v>
      </c>
      <c r="K92" s="284">
        <f t="shared" si="27"/>
        <v>0</v>
      </c>
      <c r="L92" s="284">
        <f t="shared" si="28"/>
        <v>0</v>
      </c>
      <c r="M92" s="285">
        <f t="shared" si="29"/>
        <v>0</v>
      </c>
      <c r="N92" s="284">
        <f t="shared" si="30"/>
        <v>0</v>
      </c>
      <c r="O92" s="294">
        <f t="shared" si="31"/>
        <v>0</v>
      </c>
      <c r="P92" s="293">
        <f t="shared" si="32"/>
        <v>0</v>
      </c>
      <c r="Q92" s="284">
        <f t="shared" si="33"/>
        <v>0</v>
      </c>
      <c r="R92" s="284">
        <f t="shared" si="34"/>
        <v>0</v>
      </c>
      <c r="S92" s="285">
        <f t="shared" si="35"/>
        <v>0</v>
      </c>
      <c r="T92" s="284">
        <f t="shared" si="36"/>
        <v>0</v>
      </c>
      <c r="U92" s="294">
        <f t="shared" si="37"/>
        <v>0</v>
      </c>
      <c r="V92" s="293">
        <f t="shared" si="38"/>
        <v>0</v>
      </c>
      <c r="W92" s="284">
        <f t="shared" si="39"/>
        <v>0</v>
      </c>
      <c r="X92" s="284">
        <f t="shared" si="40"/>
        <v>0</v>
      </c>
      <c r="Y92" s="285">
        <f t="shared" si="41"/>
        <v>0</v>
      </c>
      <c r="Z92" s="284">
        <f t="shared" si="42"/>
        <v>0</v>
      </c>
      <c r="AA92" s="294">
        <f t="shared" si="43"/>
        <v>0</v>
      </c>
      <c r="AB92" s="293">
        <f t="shared" si="44"/>
        <v>0</v>
      </c>
      <c r="AC92" s="284">
        <f t="shared" si="45"/>
        <v>0</v>
      </c>
      <c r="AD92" s="284">
        <f t="shared" si="46"/>
        <v>0</v>
      </c>
      <c r="AE92" s="285">
        <f t="shared" si="47"/>
        <v>0</v>
      </c>
      <c r="AF92" s="284">
        <f t="shared" si="48"/>
        <v>0</v>
      </c>
      <c r="AG92" s="294">
        <f t="shared" si="49"/>
        <v>0</v>
      </c>
    </row>
    <row r="93" spans="1:33" ht="15">
      <c r="A93" s="43">
        <f t="shared" ref="A93:A123" si="50">A92+1</f>
        <v>67</v>
      </c>
      <c r="B93" s="197"/>
      <c r="C93" s="287" t="s">
        <v>188</v>
      </c>
      <c r="D93" s="291"/>
      <c r="E93" s="282"/>
      <c r="F93" s="282"/>
      <c r="G93" s="282"/>
      <c r="H93" s="282"/>
      <c r="I93" s="292"/>
      <c r="J93" s="291">
        <f t="shared" si="26"/>
        <v>0</v>
      </c>
      <c r="K93" s="282">
        <f t="shared" si="27"/>
        <v>0</v>
      </c>
      <c r="L93" s="282">
        <f t="shared" si="28"/>
        <v>0</v>
      </c>
      <c r="M93" s="282">
        <f t="shared" si="29"/>
        <v>0</v>
      </c>
      <c r="N93" s="282">
        <f t="shared" si="30"/>
        <v>0</v>
      </c>
      <c r="O93" s="292">
        <f t="shared" si="31"/>
        <v>0</v>
      </c>
      <c r="P93" s="291">
        <f t="shared" si="32"/>
        <v>0</v>
      </c>
      <c r="Q93" s="282">
        <f t="shared" si="33"/>
        <v>0</v>
      </c>
      <c r="R93" s="282">
        <f t="shared" si="34"/>
        <v>0</v>
      </c>
      <c r="S93" s="282">
        <f t="shared" si="35"/>
        <v>0</v>
      </c>
      <c r="T93" s="282">
        <f t="shared" si="36"/>
        <v>0</v>
      </c>
      <c r="U93" s="292">
        <f t="shared" si="37"/>
        <v>0</v>
      </c>
      <c r="V93" s="291">
        <f t="shared" si="38"/>
        <v>0</v>
      </c>
      <c r="W93" s="282">
        <f t="shared" si="39"/>
        <v>0</v>
      </c>
      <c r="X93" s="282">
        <f t="shared" si="40"/>
        <v>0</v>
      </c>
      <c r="Y93" s="282">
        <f t="shared" si="41"/>
        <v>0</v>
      </c>
      <c r="Z93" s="282">
        <f t="shared" si="42"/>
        <v>0</v>
      </c>
      <c r="AA93" s="292">
        <f t="shared" si="43"/>
        <v>0</v>
      </c>
      <c r="AB93" s="291">
        <f t="shared" si="44"/>
        <v>0</v>
      </c>
      <c r="AC93" s="282">
        <f t="shared" si="45"/>
        <v>0</v>
      </c>
      <c r="AD93" s="282">
        <f t="shared" si="46"/>
        <v>0</v>
      </c>
      <c r="AE93" s="282">
        <f t="shared" si="47"/>
        <v>0</v>
      </c>
      <c r="AF93" s="282">
        <f t="shared" si="48"/>
        <v>0</v>
      </c>
      <c r="AG93" s="292">
        <f t="shared" si="49"/>
        <v>0</v>
      </c>
    </row>
    <row r="94" spans="1:33" ht="15">
      <c r="A94" s="43">
        <f t="shared" si="50"/>
        <v>68</v>
      </c>
      <c r="B94" s="197">
        <v>2</v>
      </c>
      <c r="C94" s="288" t="s">
        <v>135</v>
      </c>
      <c r="D94" s="293">
        <v>6228.0959976775684</v>
      </c>
      <c r="E94" s="293">
        <v>35918.74585465651</v>
      </c>
      <c r="F94" s="293">
        <v>102458.54632787764</v>
      </c>
      <c r="G94" s="293">
        <v>26</v>
      </c>
      <c r="H94" s="284"/>
      <c r="I94" s="294"/>
      <c r="J94" s="293">
        <f t="shared" si="26"/>
        <v>6228.0959976775684</v>
      </c>
      <c r="K94" s="283">
        <f t="shared" si="27"/>
        <v>35918.74585465651</v>
      </c>
      <c r="L94" s="283">
        <f t="shared" si="28"/>
        <v>102458.54632787764</v>
      </c>
      <c r="M94" s="285">
        <f t="shared" si="29"/>
        <v>26</v>
      </c>
      <c r="N94" s="284">
        <f t="shared" si="30"/>
        <v>0</v>
      </c>
      <c r="O94" s="294">
        <f t="shared" si="31"/>
        <v>0</v>
      </c>
      <c r="P94" s="293">
        <f t="shared" si="32"/>
        <v>6228.0959976775684</v>
      </c>
      <c r="Q94" s="283">
        <f t="shared" si="33"/>
        <v>35918.74585465651</v>
      </c>
      <c r="R94" s="283">
        <f t="shared" si="34"/>
        <v>102458.54632787764</v>
      </c>
      <c r="S94" s="285">
        <f t="shared" si="35"/>
        <v>26</v>
      </c>
      <c r="T94" s="284">
        <f t="shared" si="36"/>
        <v>0</v>
      </c>
      <c r="U94" s="294">
        <f t="shared" si="37"/>
        <v>0</v>
      </c>
      <c r="V94" s="293">
        <f t="shared" si="38"/>
        <v>6228.0959976775684</v>
      </c>
      <c r="W94" s="283">
        <f t="shared" si="39"/>
        <v>35918.74585465651</v>
      </c>
      <c r="X94" s="283">
        <f t="shared" si="40"/>
        <v>102458.54632787764</v>
      </c>
      <c r="Y94" s="285">
        <f t="shared" si="41"/>
        <v>26</v>
      </c>
      <c r="Z94" s="284">
        <f t="shared" si="42"/>
        <v>0</v>
      </c>
      <c r="AA94" s="294">
        <f t="shared" si="43"/>
        <v>0</v>
      </c>
      <c r="AB94" s="293">
        <f t="shared" si="44"/>
        <v>6228.0959976775684</v>
      </c>
      <c r="AC94" s="283">
        <f t="shared" si="45"/>
        <v>35918.74585465651</v>
      </c>
      <c r="AD94" s="283">
        <f t="shared" si="46"/>
        <v>102458.54632787764</v>
      </c>
      <c r="AE94" s="285">
        <f t="shared" si="47"/>
        <v>26</v>
      </c>
      <c r="AF94" s="284">
        <f t="shared" si="48"/>
        <v>0</v>
      </c>
      <c r="AG94" s="294">
        <f t="shared" si="49"/>
        <v>0</v>
      </c>
    </row>
    <row r="95" spans="1:33" ht="15">
      <c r="A95" s="43">
        <f t="shared" si="50"/>
        <v>69</v>
      </c>
      <c r="B95" s="197">
        <v>2</v>
      </c>
      <c r="C95" s="288" t="s">
        <v>189</v>
      </c>
      <c r="D95" s="293">
        <v>0</v>
      </c>
      <c r="E95" s="293">
        <v>0</v>
      </c>
      <c r="F95" s="293">
        <v>0</v>
      </c>
      <c r="G95" s="293">
        <v>0</v>
      </c>
      <c r="H95" s="284"/>
      <c r="I95" s="294"/>
      <c r="J95" s="293">
        <f t="shared" si="26"/>
        <v>0</v>
      </c>
      <c r="K95" s="283">
        <f t="shared" si="27"/>
        <v>0</v>
      </c>
      <c r="L95" s="283">
        <f t="shared" si="28"/>
        <v>0</v>
      </c>
      <c r="M95" s="285">
        <f t="shared" si="29"/>
        <v>0</v>
      </c>
      <c r="N95" s="284">
        <f t="shared" si="30"/>
        <v>0</v>
      </c>
      <c r="O95" s="294">
        <f t="shared" si="31"/>
        <v>0</v>
      </c>
      <c r="P95" s="293">
        <f t="shared" si="32"/>
        <v>0</v>
      </c>
      <c r="Q95" s="283">
        <f t="shared" si="33"/>
        <v>0</v>
      </c>
      <c r="R95" s="283">
        <f t="shared" si="34"/>
        <v>0</v>
      </c>
      <c r="S95" s="285">
        <f t="shared" si="35"/>
        <v>0</v>
      </c>
      <c r="T95" s="284">
        <f t="shared" si="36"/>
        <v>0</v>
      </c>
      <c r="U95" s="294">
        <f t="shared" si="37"/>
        <v>0</v>
      </c>
      <c r="V95" s="293">
        <f t="shared" si="38"/>
        <v>0</v>
      </c>
      <c r="W95" s="283">
        <f t="shared" si="39"/>
        <v>0</v>
      </c>
      <c r="X95" s="283">
        <f t="shared" si="40"/>
        <v>0</v>
      </c>
      <c r="Y95" s="285">
        <f t="shared" si="41"/>
        <v>0</v>
      </c>
      <c r="Z95" s="284">
        <f t="shared" si="42"/>
        <v>0</v>
      </c>
      <c r="AA95" s="294">
        <f t="shared" si="43"/>
        <v>0</v>
      </c>
      <c r="AB95" s="293">
        <f t="shared" si="44"/>
        <v>0</v>
      </c>
      <c r="AC95" s="283">
        <f t="shared" si="45"/>
        <v>0</v>
      </c>
      <c r="AD95" s="283">
        <f t="shared" si="46"/>
        <v>0</v>
      </c>
      <c r="AE95" s="285">
        <f t="shared" si="47"/>
        <v>0</v>
      </c>
      <c r="AF95" s="284">
        <f t="shared" si="48"/>
        <v>0</v>
      </c>
      <c r="AG95" s="294">
        <f t="shared" si="49"/>
        <v>0</v>
      </c>
    </row>
    <row r="96" spans="1:33" ht="15">
      <c r="A96" s="43">
        <f t="shared" si="50"/>
        <v>70</v>
      </c>
      <c r="B96" s="197">
        <v>2</v>
      </c>
      <c r="C96" s="288" t="s">
        <v>190</v>
      </c>
      <c r="D96" s="293">
        <v>0</v>
      </c>
      <c r="E96" s="293">
        <v>0</v>
      </c>
      <c r="F96" s="293">
        <v>0</v>
      </c>
      <c r="G96" s="293">
        <v>0</v>
      </c>
      <c r="H96" s="284"/>
      <c r="I96" s="294"/>
      <c r="J96" s="293">
        <f t="shared" si="26"/>
        <v>0</v>
      </c>
      <c r="K96" s="283">
        <f t="shared" si="27"/>
        <v>0</v>
      </c>
      <c r="L96" s="283">
        <f t="shared" si="28"/>
        <v>0</v>
      </c>
      <c r="M96" s="285">
        <f t="shared" si="29"/>
        <v>0</v>
      </c>
      <c r="N96" s="284">
        <f t="shared" si="30"/>
        <v>0</v>
      </c>
      <c r="O96" s="294">
        <f t="shared" si="31"/>
        <v>0</v>
      </c>
      <c r="P96" s="293">
        <f t="shared" si="32"/>
        <v>0</v>
      </c>
      <c r="Q96" s="283">
        <f t="shared" si="33"/>
        <v>0</v>
      </c>
      <c r="R96" s="283">
        <f t="shared" si="34"/>
        <v>0</v>
      </c>
      <c r="S96" s="285">
        <f t="shared" si="35"/>
        <v>0</v>
      </c>
      <c r="T96" s="284">
        <f t="shared" si="36"/>
        <v>0</v>
      </c>
      <c r="U96" s="294">
        <f t="shared" si="37"/>
        <v>0</v>
      </c>
      <c r="V96" s="293">
        <f t="shared" si="38"/>
        <v>0</v>
      </c>
      <c r="W96" s="283">
        <f t="shared" si="39"/>
        <v>0</v>
      </c>
      <c r="X96" s="283">
        <f t="shared" si="40"/>
        <v>0</v>
      </c>
      <c r="Y96" s="285">
        <f t="shared" si="41"/>
        <v>0</v>
      </c>
      <c r="Z96" s="284">
        <f t="shared" si="42"/>
        <v>0</v>
      </c>
      <c r="AA96" s="294">
        <f t="shared" si="43"/>
        <v>0</v>
      </c>
      <c r="AB96" s="293">
        <f t="shared" si="44"/>
        <v>0</v>
      </c>
      <c r="AC96" s="283">
        <f t="shared" si="45"/>
        <v>0</v>
      </c>
      <c r="AD96" s="283">
        <f t="shared" si="46"/>
        <v>0</v>
      </c>
      <c r="AE96" s="285">
        <f t="shared" si="47"/>
        <v>0</v>
      </c>
      <c r="AF96" s="284">
        <f t="shared" si="48"/>
        <v>0</v>
      </c>
      <c r="AG96" s="294">
        <f t="shared" si="49"/>
        <v>0</v>
      </c>
    </row>
    <row r="97" spans="1:33" ht="15">
      <c r="A97" s="43">
        <f t="shared" si="50"/>
        <v>71</v>
      </c>
      <c r="B97" s="197"/>
      <c r="C97" s="287" t="s">
        <v>1648</v>
      </c>
      <c r="D97" s="291"/>
      <c r="E97" s="282"/>
      <c r="F97" s="282"/>
      <c r="G97" s="282"/>
      <c r="H97" s="282"/>
      <c r="I97" s="292"/>
      <c r="J97" s="291">
        <f t="shared" si="26"/>
        <v>0</v>
      </c>
      <c r="K97" s="282">
        <f t="shared" si="27"/>
        <v>0</v>
      </c>
      <c r="L97" s="282">
        <f t="shared" si="28"/>
        <v>0</v>
      </c>
      <c r="M97" s="282">
        <f t="shared" si="29"/>
        <v>0</v>
      </c>
      <c r="N97" s="282">
        <f t="shared" si="30"/>
        <v>0</v>
      </c>
      <c r="O97" s="292">
        <f t="shared" si="31"/>
        <v>0</v>
      </c>
      <c r="P97" s="291">
        <f t="shared" si="32"/>
        <v>0</v>
      </c>
      <c r="Q97" s="282">
        <f t="shared" si="33"/>
        <v>0</v>
      </c>
      <c r="R97" s="282">
        <f t="shared" si="34"/>
        <v>0</v>
      </c>
      <c r="S97" s="282">
        <f t="shared" si="35"/>
        <v>0</v>
      </c>
      <c r="T97" s="282">
        <f t="shared" si="36"/>
        <v>0</v>
      </c>
      <c r="U97" s="292">
        <f t="shared" si="37"/>
        <v>0</v>
      </c>
      <c r="V97" s="291">
        <f t="shared" si="38"/>
        <v>0</v>
      </c>
      <c r="W97" s="282">
        <f t="shared" si="39"/>
        <v>0</v>
      </c>
      <c r="X97" s="282">
        <f t="shared" si="40"/>
        <v>0</v>
      </c>
      <c r="Y97" s="282">
        <f t="shared" si="41"/>
        <v>0</v>
      </c>
      <c r="Z97" s="282">
        <f t="shared" si="42"/>
        <v>0</v>
      </c>
      <c r="AA97" s="292">
        <f t="shared" si="43"/>
        <v>0</v>
      </c>
      <c r="AB97" s="291">
        <f t="shared" si="44"/>
        <v>0</v>
      </c>
      <c r="AC97" s="282">
        <f t="shared" si="45"/>
        <v>0</v>
      </c>
      <c r="AD97" s="282">
        <f t="shared" si="46"/>
        <v>0</v>
      </c>
      <c r="AE97" s="282">
        <f t="shared" si="47"/>
        <v>0</v>
      </c>
      <c r="AF97" s="282">
        <f t="shared" si="48"/>
        <v>0</v>
      </c>
      <c r="AG97" s="292">
        <f t="shared" si="49"/>
        <v>0</v>
      </c>
    </row>
    <row r="98" spans="1:33" ht="15">
      <c r="A98" s="43">
        <f t="shared" si="50"/>
        <v>72</v>
      </c>
      <c r="B98" s="197">
        <v>4</v>
      </c>
      <c r="C98" s="288" t="s">
        <v>1645</v>
      </c>
      <c r="D98" s="293">
        <v>602.29748729184382</v>
      </c>
      <c r="E98" s="284"/>
      <c r="F98" s="284"/>
      <c r="G98" s="293">
        <v>130</v>
      </c>
      <c r="H98" s="284"/>
      <c r="I98" s="294"/>
      <c r="J98" s="293">
        <f t="shared" si="26"/>
        <v>602.29748729184382</v>
      </c>
      <c r="K98" s="284">
        <f t="shared" si="27"/>
        <v>0</v>
      </c>
      <c r="L98" s="284">
        <f t="shared" si="28"/>
        <v>0</v>
      </c>
      <c r="M98" s="285">
        <f t="shared" si="29"/>
        <v>130</v>
      </c>
      <c r="N98" s="284">
        <f t="shared" si="30"/>
        <v>0</v>
      </c>
      <c r="O98" s="294">
        <f t="shared" si="31"/>
        <v>0</v>
      </c>
      <c r="P98" s="293">
        <f t="shared" si="32"/>
        <v>602.29748729184382</v>
      </c>
      <c r="Q98" s="284">
        <f t="shared" si="33"/>
        <v>0</v>
      </c>
      <c r="R98" s="284">
        <f t="shared" si="34"/>
        <v>0</v>
      </c>
      <c r="S98" s="285">
        <f t="shared" si="35"/>
        <v>130</v>
      </c>
      <c r="T98" s="284">
        <f t="shared" si="36"/>
        <v>0</v>
      </c>
      <c r="U98" s="294">
        <f t="shared" si="37"/>
        <v>0</v>
      </c>
      <c r="V98" s="293">
        <f t="shared" si="38"/>
        <v>602.29748729184382</v>
      </c>
      <c r="W98" s="284">
        <f t="shared" si="39"/>
        <v>0</v>
      </c>
      <c r="X98" s="284">
        <f t="shared" si="40"/>
        <v>0</v>
      </c>
      <c r="Y98" s="285">
        <f t="shared" si="41"/>
        <v>130</v>
      </c>
      <c r="Z98" s="284">
        <f t="shared" si="42"/>
        <v>0</v>
      </c>
      <c r="AA98" s="294">
        <f t="shared" si="43"/>
        <v>0</v>
      </c>
      <c r="AB98" s="293">
        <f t="shared" si="44"/>
        <v>602.29748729184382</v>
      </c>
      <c r="AC98" s="284">
        <f t="shared" si="45"/>
        <v>0</v>
      </c>
      <c r="AD98" s="284">
        <f t="shared" si="46"/>
        <v>0</v>
      </c>
      <c r="AE98" s="285">
        <f t="shared" si="47"/>
        <v>130</v>
      </c>
      <c r="AF98" s="284">
        <f t="shared" si="48"/>
        <v>0</v>
      </c>
      <c r="AG98" s="294">
        <f t="shared" si="49"/>
        <v>0</v>
      </c>
    </row>
    <row r="99" spans="1:33" ht="15">
      <c r="A99" s="43">
        <f t="shared" si="50"/>
        <v>73</v>
      </c>
      <c r="B99" s="197">
        <v>4</v>
      </c>
      <c r="C99" s="288" t="s">
        <v>1642</v>
      </c>
      <c r="D99" s="293">
        <v>0</v>
      </c>
      <c r="E99" s="284"/>
      <c r="F99" s="284"/>
      <c r="G99" s="293">
        <v>0</v>
      </c>
      <c r="H99" s="284"/>
      <c r="I99" s="294"/>
      <c r="J99" s="293">
        <f t="shared" si="26"/>
        <v>0</v>
      </c>
      <c r="K99" s="284">
        <f t="shared" si="27"/>
        <v>0</v>
      </c>
      <c r="L99" s="284">
        <f t="shared" si="28"/>
        <v>0</v>
      </c>
      <c r="M99" s="285">
        <f t="shared" si="29"/>
        <v>0</v>
      </c>
      <c r="N99" s="284">
        <f t="shared" si="30"/>
        <v>0</v>
      </c>
      <c r="O99" s="294">
        <f t="shared" si="31"/>
        <v>0</v>
      </c>
      <c r="P99" s="293">
        <f t="shared" si="32"/>
        <v>0</v>
      </c>
      <c r="Q99" s="284">
        <f t="shared" si="33"/>
        <v>0</v>
      </c>
      <c r="R99" s="284">
        <f t="shared" si="34"/>
        <v>0</v>
      </c>
      <c r="S99" s="285">
        <f t="shared" si="35"/>
        <v>0</v>
      </c>
      <c r="T99" s="284">
        <f t="shared" si="36"/>
        <v>0</v>
      </c>
      <c r="U99" s="294">
        <f t="shared" si="37"/>
        <v>0</v>
      </c>
      <c r="V99" s="293">
        <f t="shared" si="38"/>
        <v>0</v>
      </c>
      <c r="W99" s="284">
        <f t="shared" si="39"/>
        <v>0</v>
      </c>
      <c r="X99" s="284">
        <f t="shared" si="40"/>
        <v>0</v>
      </c>
      <c r="Y99" s="285">
        <f t="shared" si="41"/>
        <v>0</v>
      </c>
      <c r="Z99" s="284">
        <f t="shared" si="42"/>
        <v>0</v>
      </c>
      <c r="AA99" s="294">
        <f t="shared" si="43"/>
        <v>0</v>
      </c>
      <c r="AB99" s="293">
        <f t="shared" si="44"/>
        <v>0</v>
      </c>
      <c r="AC99" s="284">
        <f t="shared" si="45"/>
        <v>0</v>
      </c>
      <c r="AD99" s="284">
        <f t="shared" si="46"/>
        <v>0</v>
      </c>
      <c r="AE99" s="285">
        <f t="shared" si="47"/>
        <v>0</v>
      </c>
      <c r="AF99" s="284">
        <f t="shared" si="48"/>
        <v>0</v>
      </c>
      <c r="AG99" s="294">
        <f t="shared" si="49"/>
        <v>0</v>
      </c>
    </row>
    <row r="100" spans="1:33" ht="15">
      <c r="A100" s="43">
        <f t="shared" si="50"/>
        <v>74</v>
      </c>
      <c r="B100" s="197">
        <v>4</v>
      </c>
      <c r="C100" s="288" t="s">
        <v>1639</v>
      </c>
      <c r="D100" s="293">
        <v>0</v>
      </c>
      <c r="E100" s="284"/>
      <c r="F100" s="284"/>
      <c r="G100" s="293">
        <v>0</v>
      </c>
      <c r="H100" s="284"/>
      <c r="I100" s="294"/>
      <c r="J100" s="293">
        <f t="shared" si="26"/>
        <v>0</v>
      </c>
      <c r="K100" s="284">
        <f t="shared" si="27"/>
        <v>0</v>
      </c>
      <c r="L100" s="284">
        <f t="shared" si="28"/>
        <v>0</v>
      </c>
      <c r="M100" s="285">
        <f t="shared" si="29"/>
        <v>0</v>
      </c>
      <c r="N100" s="284">
        <f t="shared" si="30"/>
        <v>0</v>
      </c>
      <c r="O100" s="294">
        <f t="shared" si="31"/>
        <v>0</v>
      </c>
      <c r="P100" s="293">
        <f t="shared" si="32"/>
        <v>0</v>
      </c>
      <c r="Q100" s="284">
        <f t="shared" si="33"/>
        <v>0</v>
      </c>
      <c r="R100" s="284">
        <f t="shared" si="34"/>
        <v>0</v>
      </c>
      <c r="S100" s="285">
        <f t="shared" si="35"/>
        <v>0</v>
      </c>
      <c r="T100" s="284">
        <f t="shared" si="36"/>
        <v>0</v>
      </c>
      <c r="U100" s="294">
        <f t="shared" si="37"/>
        <v>0</v>
      </c>
      <c r="V100" s="293">
        <f t="shared" si="38"/>
        <v>0</v>
      </c>
      <c r="W100" s="284">
        <f t="shared" si="39"/>
        <v>0</v>
      </c>
      <c r="X100" s="284">
        <f t="shared" si="40"/>
        <v>0</v>
      </c>
      <c r="Y100" s="285">
        <f t="shared" si="41"/>
        <v>0</v>
      </c>
      <c r="Z100" s="284">
        <f t="shared" si="42"/>
        <v>0</v>
      </c>
      <c r="AA100" s="294">
        <f t="shared" si="43"/>
        <v>0</v>
      </c>
      <c r="AB100" s="293">
        <f t="shared" si="44"/>
        <v>0</v>
      </c>
      <c r="AC100" s="284">
        <f t="shared" si="45"/>
        <v>0</v>
      </c>
      <c r="AD100" s="284">
        <f t="shared" si="46"/>
        <v>0</v>
      </c>
      <c r="AE100" s="285">
        <f t="shared" si="47"/>
        <v>0</v>
      </c>
      <c r="AF100" s="284">
        <f t="shared" si="48"/>
        <v>0</v>
      </c>
      <c r="AG100" s="294">
        <f t="shared" si="49"/>
        <v>0</v>
      </c>
    </row>
    <row r="101" spans="1:33" ht="15">
      <c r="A101" s="43">
        <f t="shared" si="50"/>
        <v>75</v>
      </c>
      <c r="B101" s="197"/>
      <c r="C101" s="287" t="s">
        <v>191</v>
      </c>
      <c r="D101" s="291"/>
      <c r="E101" s="282"/>
      <c r="F101" s="282"/>
      <c r="G101" s="282"/>
      <c r="H101" s="282"/>
      <c r="I101" s="292"/>
      <c r="J101" s="291">
        <f t="shared" si="26"/>
        <v>0</v>
      </c>
      <c r="K101" s="282">
        <f t="shared" si="27"/>
        <v>0</v>
      </c>
      <c r="L101" s="282">
        <f t="shared" si="28"/>
        <v>0</v>
      </c>
      <c r="M101" s="282">
        <f t="shared" si="29"/>
        <v>0</v>
      </c>
      <c r="N101" s="282">
        <f t="shared" si="30"/>
        <v>0</v>
      </c>
      <c r="O101" s="292">
        <f t="shared" si="31"/>
        <v>0</v>
      </c>
      <c r="P101" s="291">
        <f t="shared" si="32"/>
        <v>0</v>
      </c>
      <c r="Q101" s="282">
        <f t="shared" si="33"/>
        <v>0</v>
      </c>
      <c r="R101" s="282">
        <f t="shared" si="34"/>
        <v>0</v>
      </c>
      <c r="S101" s="282">
        <f t="shared" si="35"/>
        <v>0</v>
      </c>
      <c r="T101" s="282">
        <f t="shared" si="36"/>
        <v>0</v>
      </c>
      <c r="U101" s="292">
        <f t="shared" si="37"/>
        <v>0</v>
      </c>
      <c r="V101" s="291">
        <f t="shared" si="38"/>
        <v>0</v>
      </c>
      <c r="W101" s="282">
        <f t="shared" si="39"/>
        <v>0</v>
      </c>
      <c r="X101" s="282">
        <f t="shared" si="40"/>
        <v>0</v>
      </c>
      <c r="Y101" s="282">
        <f t="shared" si="41"/>
        <v>0</v>
      </c>
      <c r="Z101" s="282">
        <f t="shared" si="42"/>
        <v>0</v>
      </c>
      <c r="AA101" s="292">
        <f t="shared" si="43"/>
        <v>0</v>
      </c>
      <c r="AB101" s="291">
        <f t="shared" si="44"/>
        <v>0</v>
      </c>
      <c r="AC101" s="282">
        <f t="shared" si="45"/>
        <v>0</v>
      </c>
      <c r="AD101" s="282">
        <f t="shared" si="46"/>
        <v>0</v>
      </c>
      <c r="AE101" s="282">
        <f t="shared" si="47"/>
        <v>0</v>
      </c>
      <c r="AF101" s="282">
        <f t="shared" si="48"/>
        <v>0</v>
      </c>
      <c r="AG101" s="292">
        <f t="shared" si="49"/>
        <v>0</v>
      </c>
    </row>
    <row r="102" spans="1:33" ht="15">
      <c r="A102" s="43">
        <f t="shared" si="50"/>
        <v>76</v>
      </c>
      <c r="B102" s="197">
        <v>4</v>
      </c>
      <c r="C102" s="288" t="s">
        <v>100</v>
      </c>
      <c r="D102" s="293">
        <v>0</v>
      </c>
      <c r="E102" s="284"/>
      <c r="F102" s="284"/>
      <c r="G102" s="293">
        <v>0</v>
      </c>
      <c r="H102" s="284"/>
      <c r="I102" s="294"/>
      <c r="J102" s="293">
        <f t="shared" si="26"/>
        <v>0</v>
      </c>
      <c r="K102" s="284">
        <f t="shared" si="27"/>
        <v>0</v>
      </c>
      <c r="L102" s="284">
        <f t="shared" si="28"/>
        <v>0</v>
      </c>
      <c r="M102" s="285">
        <f t="shared" si="29"/>
        <v>0</v>
      </c>
      <c r="N102" s="284">
        <f t="shared" si="30"/>
        <v>0</v>
      </c>
      <c r="O102" s="294">
        <f t="shared" si="31"/>
        <v>0</v>
      </c>
      <c r="P102" s="293">
        <f t="shared" si="32"/>
        <v>0</v>
      </c>
      <c r="Q102" s="284">
        <f t="shared" si="33"/>
        <v>0</v>
      </c>
      <c r="R102" s="284">
        <f t="shared" si="34"/>
        <v>0</v>
      </c>
      <c r="S102" s="285">
        <f t="shared" si="35"/>
        <v>0</v>
      </c>
      <c r="T102" s="284">
        <f t="shared" si="36"/>
        <v>0</v>
      </c>
      <c r="U102" s="294">
        <f t="shared" si="37"/>
        <v>0</v>
      </c>
      <c r="V102" s="293">
        <f t="shared" si="38"/>
        <v>0</v>
      </c>
      <c r="W102" s="284">
        <f t="shared" si="39"/>
        <v>0</v>
      </c>
      <c r="X102" s="284">
        <f t="shared" si="40"/>
        <v>0</v>
      </c>
      <c r="Y102" s="285">
        <f t="shared" si="41"/>
        <v>0</v>
      </c>
      <c r="Z102" s="284">
        <f t="shared" si="42"/>
        <v>0</v>
      </c>
      <c r="AA102" s="294">
        <f t="shared" si="43"/>
        <v>0</v>
      </c>
      <c r="AB102" s="293">
        <f t="shared" si="44"/>
        <v>0</v>
      </c>
      <c r="AC102" s="284">
        <f t="shared" si="45"/>
        <v>0</v>
      </c>
      <c r="AD102" s="284">
        <f t="shared" si="46"/>
        <v>0</v>
      </c>
      <c r="AE102" s="285">
        <f t="shared" si="47"/>
        <v>0</v>
      </c>
      <c r="AF102" s="284">
        <f t="shared" si="48"/>
        <v>0</v>
      </c>
      <c r="AG102" s="294">
        <f t="shared" si="49"/>
        <v>0</v>
      </c>
    </row>
    <row r="103" spans="1:33" ht="15">
      <c r="A103" s="43">
        <f t="shared" si="50"/>
        <v>77</v>
      </c>
      <c r="B103" s="197">
        <v>4</v>
      </c>
      <c r="C103" s="288" t="s">
        <v>192</v>
      </c>
      <c r="D103" s="293">
        <v>0</v>
      </c>
      <c r="E103" s="284"/>
      <c r="F103" s="284"/>
      <c r="G103" s="293">
        <v>0</v>
      </c>
      <c r="H103" s="284"/>
      <c r="I103" s="294"/>
      <c r="J103" s="293">
        <f t="shared" si="26"/>
        <v>0</v>
      </c>
      <c r="K103" s="284">
        <f t="shared" si="27"/>
        <v>0</v>
      </c>
      <c r="L103" s="284">
        <f t="shared" si="28"/>
        <v>0</v>
      </c>
      <c r="M103" s="285">
        <f t="shared" si="29"/>
        <v>0</v>
      </c>
      <c r="N103" s="284">
        <f t="shared" si="30"/>
        <v>0</v>
      </c>
      <c r="O103" s="294">
        <f t="shared" si="31"/>
        <v>0</v>
      </c>
      <c r="P103" s="293">
        <f t="shared" si="32"/>
        <v>0</v>
      </c>
      <c r="Q103" s="284">
        <f t="shared" si="33"/>
        <v>0</v>
      </c>
      <c r="R103" s="284">
        <f t="shared" si="34"/>
        <v>0</v>
      </c>
      <c r="S103" s="285">
        <f t="shared" si="35"/>
        <v>0</v>
      </c>
      <c r="T103" s="284">
        <f t="shared" si="36"/>
        <v>0</v>
      </c>
      <c r="U103" s="294">
        <f t="shared" si="37"/>
        <v>0</v>
      </c>
      <c r="V103" s="293">
        <f t="shared" si="38"/>
        <v>0</v>
      </c>
      <c r="W103" s="284">
        <f t="shared" si="39"/>
        <v>0</v>
      </c>
      <c r="X103" s="284">
        <f t="shared" si="40"/>
        <v>0</v>
      </c>
      <c r="Y103" s="285">
        <f t="shared" si="41"/>
        <v>0</v>
      </c>
      <c r="Z103" s="284">
        <f t="shared" si="42"/>
        <v>0</v>
      </c>
      <c r="AA103" s="294">
        <f t="shared" si="43"/>
        <v>0</v>
      </c>
      <c r="AB103" s="293">
        <f t="shared" si="44"/>
        <v>0</v>
      </c>
      <c r="AC103" s="284">
        <f t="shared" si="45"/>
        <v>0</v>
      </c>
      <c r="AD103" s="284">
        <f t="shared" si="46"/>
        <v>0</v>
      </c>
      <c r="AE103" s="285">
        <f t="shared" si="47"/>
        <v>0</v>
      </c>
      <c r="AF103" s="284">
        <f t="shared" si="48"/>
        <v>0</v>
      </c>
      <c r="AG103" s="294">
        <f t="shared" si="49"/>
        <v>0</v>
      </c>
    </row>
    <row r="104" spans="1:33" ht="15">
      <c r="A104" s="43">
        <f t="shared" si="50"/>
        <v>78</v>
      </c>
      <c r="B104" s="197"/>
      <c r="C104" s="287" t="s">
        <v>193</v>
      </c>
      <c r="D104" s="291"/>
      <c r="E104" s="282"/>
      <c r="F104" s="282"/>
      <c r="G104" s="282"/>
      <c r="H104" s="282"/>
      <c r="I104" s="292"/>
      <c r="J104" s="291">
        <f t="shared" si="26"/>
        <v>0</v>
      </c>
      <c r="K104" s="282">
        <f t="shared" si="27"/>
        <v>0</v>
      </c>
      <c r="L104" s="282">
        <f t="shared" si="28"/>
        <v>0</v>
      </c>
      <c r="M104" s="282">
        <f t="shared" si="29"/>
        <v>0</v>
      </c>
      <c r="N104" s="282">
        <f t="shared" si="30"/>
        <v>0</v>
      </c>
      <c r="O104" s="292">
        <f t="shared" si="31"/>
        <v>0</v>
      </c>
      <c r="P104" s="291">
        <f t="shared" si="32"/>
        <v>0</v>
      </c>
      <c r="Q104" s="282">
        <f t="shared" si="33"/>
        <v>0</v>
      </c>
      <c r="R104" s="282">
        <f t="shared" si="34"/>
        <v>0</v>
      </c>
      <c r="S104" s="282">
        <f t="shared" si="35"/>
        <v>0</v>
      </c>
      <c r="T104" s="282">
        <f t="shared" si="36"/>
        <v>0</v>
      </c>
      <c r="U104" s="292">
        <f t="shared" si="37"/>
        <v>0</v>
      </c>
      <c r="V104" s="291">
        <f t="shared" si="38"/>
        <v>0</v>
      </c>
      <c r="W104" s="282">
        <f t="shared" si="39"/>
        <v>0</v>
      </c>
      <c r="X104" s="282">
        <f t="shared" si="40"/>
        <v>0</v>
      </c>
      <c r="Y104" s="282">
        <f t="shared" si="41"/>
        <v>0</v>
      </c>
      <c r="Z104" s="282">
        <f t="shared" si="42"/>
        <v>0</v>
      </c>
      <c r="AA104" s="292">
        <f t="shared" si="43"/>
        <v>0</v>
      </c>
      <c r="AB104" s="291">
        <f t="shared" si="44"/>
        <v>0</v>
      </c>
      <c r="AC104" s="282">
        <f t="shared" si="45"/>
        <v>0</v>
      </c>
      <c r="AD104" s="282">
        <f t="shared" si="46"/>
        <v>0</v>
      </c>
      <c r="AE104" s="282">
        <f t="shared" si="47"/>
        <v>0</v>
      </c>
      <c r="AF104" s="282">
        <f t="shared" si="48"/>
        <v>0</v>
      </c>
      <c r="AG104" s="292">
        <f t="shared" si="49"/>
        <v>0</v>
      </c>
    </row>
    <row r="105" spans="1:33" ht="15">
      <c r="A105" s="43">
        <f t="shared" si="50"/>
        <v>79</v>
      </c>
      <c r="B105" s="197">
        <v>4</v>
      </c>
      <c r="C105" s="288" t="s">
        <v>101</v>
      </c>
      <c r="D105" s="293">
        <v>9529.9504738031992</v>
      </c>
      <c r="E105" s="284"/>
      <c r="F105" s="284"/>
      <c r="G105" s="293">
        <v>146</v>
      </c>
      <c r="H105" s="284"/>
      <c r="I105" s="293">
        <v>338</v>
      </c>
      <c r="J105" s="293">
        <f t="shared" si="26"/>
        <v>9529.9504738031992</v>
      </c>
      <c r="K105" s="284">
        <f t="shared" si="27"/>
        <v>0</v>
      </c>
      <c r="L105" s="284">
        <f t="shared" si="28"/>
        <v>0</v>
      </c>
      <c r="M105" s="285">
        <f t="shared" si="29"/>
        <v>146</v>
      </c>
      <c r="N105" s="284">
        <f t="shared" si="30"/>
        <v>0</v>
      </c>
      <c r="O105" s="295">
        <f t="shared" si="31"/>
        <v>338</v>
      </c>
      <c r="P105" s="293">
        <f t="shared" si="32"/>
        <v>9529.9504738031992</v>
      </c>
      <c r="Q105" s="284">
        <f t="shared" si="33"/>
        <v>0</v>
      </c>
      <c r="R105" s="284">
        <f t="shared" si="34"/>
        <v>0</v>
      </c>
      <c r="S105" s="285">
        <f t="shared" si="35"/>
        <v>146</v>
      </c>
      <c r="T105" s="284">
        <f t="shared" si="36"/>
        <v>0</v>
      </c>
      <c r="U105" s="295">
        <f t="shared" si="37"/>
        <v>338</v>
      </c>
      <c r="V105" s="293">
        <f t="shared" si="38"/>
        <v>9529.9504738031992</v>
      </c>
      <c r="W105" s="284">
        <f t="shared" si="39"/>
        <v>0</v>
      </c>
      <c r="X105" s="284">
        <f t="shared" si="40"/>
        <v>0</v>
      </c>
      <c r="Y105" s="285">
        <f t="shared" si="41"/>
        <v>146</v>
      </c>
      <c r="Z105" s="284">
        <f t="shared" si="42"/>
        <v>0</v>
      </c>
      <c r="AA105" s="295">
        <f t="shared" si="43"/>
        <v>338</v>
      </c>
      <c r="AB105" s="293">
        <f t="shared" si="44"/>
        <v>9529.9504738031992</v>
      </c>
      <c r="AC105" s="284">
        <f t="shared" si="45"/>
        <v>0</v>
      </c>
      <c r="AD105" s="284">
        <f t="shared" si="46"/>
        <v>0</v>
      </c>
      <c r="AE105" s="285">
        <f t="shared" si="47"/>
        <v>146</v>
      </c>
      <c r="AF105" s="284">
        <f t="shared" si="48"/>
        <v>0</v>
      </c>
      <c r="AG105" s="295">
        <f t="shared" si="49"/>
        <v>338</v>
      </c>
    </row>
    <row r="106" spans="1:33" ht="15">
      <c r="A106" s="43">
        <f t="shared" si="50"/>
        <v>80</v>
      </c>
      <c r="B106" s="197">
        <v>4</v>
      </c>
      <c r="C106" s="288" t="s">
        <v>194</v>
      </c>
      <c r="D106" s="293">
        <v>0</v>
      </c>
      <c r="E106" s="284"/>
      <c r="F106" s="284"/>
      <c r="G106" s="293">
        <v>0</v>
      </c>
      <c r="H106" s="284"/>
      <c r="I106" s="293">
        <v>0</v>
      </c>
      <c r="J106" s="293">
        <f t="shared" ref="J106:J115" si="51">IF(D106,((VLOOKUP($B106,$E$7:$AE$16,4)+1)*D106),)</f>
        <v>0</v>
      </c>
      <c r="K106" s="284">
        <f t="shared" ref="K106:K115" si="52">IF(E106,((VLOOKUP($B106,$E$7:$AE$16,8)+1)*E106),)</f>
        <v>0</v>
      </c>
      <c r="L106" s="284">
        <f t="shared" ref="L106:L115" si="53">IF(F106,((VLOOKUP($B106,$E$7:$AE$16,12)+1)*F106),)</f>
        <v>0</v>
      </c>
      <c r="M106" s="285">
        <f t="shared" ref="M106:M115" si="54">IF(G106,((VLOOKUP($B106,$E$7:$AE$16,16)+1)*G106),)</f>
        <v>0</v>
      </c>
      <c r="N106" s="284">
        <f t="shared" ref="N106:N115" si="55">IF(H106,((VLOOKUP($B106,$E$7:$AE$16,20)+1)*H106),)</f>
        <v>0</v>
      </c>
      <c r="O106" s="295">
        <f t="shared" ref="O106:O115" si="56">IF(I106,((VLOOKUP($B106,$E$7:$AE$16,24)+1)*I106),)</f>
        <v>0</v>
      </c>
      <c r="P106" s="293">
        <f t="shared" ref="P106:P115" si="57">IF(D106,((VLOOKUP($B106,$E$7:$AE$16,5)+1)*J106),)</f>
        <v>0</v>
      </c>
      <c r="Q106" s="284">
        <f t="shared" ref="Q106:Q115" si="58">IF(E106,((VLOOKUP($B106,$E$7:$AE$16,5+4)+1)*K106),)</f>
        <v>0</v>
      </c>
      <c r="R106" s="284">
        <f t="shared" ref="R106:R115" si="59">IF(F106,((VLOOKUP($B106,$E$7:$AE$16,5+8)+1)*L106),)</f>
        <v>0</v>
      </c>
      <c r="S106" s="285">
        <f t="shared" ref="S106:S115" si="60">IF(G106,((VLOOKUP($B106,$E$7:$AE$16,5+12)+1)*M106),)</f>
        <v>0</v>
      </c>
      <c r="T106" s="284">
        <f t="shared" ref="T106:T115" si="61">IF(H106,((VLOOKUP($B106,$E$7:$AE$16,5+16)+1)*N106),)</f>
        <v>0</v>
      </c>
      <c r="U106" s="295">
        <f t="shared" ref="U106:U115" si="62">IF(I106,((VLOOKUP($B106,$E$7:$AE$16,5+20)+1)*O106),)</f>
        <v>0</v>
      </c>
      <c r="V106" s="293">
        <f t="shared" ref="V106:V115" si="63">IF(D106,((VLOOKUP($B106,$E$7:$AE$16,6)+1)*P106),)</f>
        <v>0</v>
      </c>
      <c r="W106" s="284">
        <f t="shared" ref="W106:W115" si="64">IF(E106,((VLOOKUP($B106,$E$7:$AE$16,6+4)+1)*Q106),)</f>
        <v>0</v>
      </c>
      <c r="X106" s="284">
        <f t="shared" ref="X106:X115" si="65">IF(F106,((VLOOKUP($B106,$E$7:$AE$16,6+8)+1)*R106),)</f>
        <v>0</v>
      </c>
      <c r="Y106" s="285">
        <f t="shared" ref="Y106:Y115" si="66">IF(G106,((VLOOKUP($B106,$E$7:$AE$16,6+12)+1)*S106),)</f>
        <v>0</v>
      </c>
      <c r="Z106" s="284">
        <f t="shared" ref="Z106:Z115" si="67">IF(H106,((VLOOKUP($B106,$E$7:$AE$16,6+16)+1)*T106),)</f>
        <v>0</v>
      </c>
      <c r="AA106" s="295">
        <f t="shared" ref="AA106:AA115" si="68">IF(I106,((VLOOKUP($B106,$E$7:$AE$16,6+20)+1)*U106),)</f>
        <v>0</v>
      </c>
      <c r="AB106" s="293">
        <f t="shared" ref="AB106:AB115" si="69">IF(D106,((VLOOKUP($B106,$E$7:$AE$16,7)+1)*V106),)</f>
        <v>0</v>
      </c>
      <c r="AC106" s="284">
        <f t="shared" ref="AC106:AC115" si="70">IF(E106,((VLOOKUP($B106,$E$7:$AE$16,7+4)+1)*W106),)</f>
        <v>0</v>
      </c>
      <c r="AD106" s="284">
        <f t="shared" ref="AD106:AD115" si="71">IF(F106,((VLOOKUP($B106,$E$7:$AE$16,7+8)+1)*X106),)</f>
        <v>0</v>
      </c>
      <c r="AE106" s="285">
        <f t="shared" ref="AE106:AE115" si="72">IF(G106,((VLOOKUP($B106,$E$7:$AE$16,7+12)+1)*Y106),)</f>
        <v>0</v>
      </c>
      <c r="AF106" s="284">
        <f t="shared" ref="AF106:AF115" si="73">IF(H106,((VLOOKUP($B106,$E$7:$AE$16,7+16)+1)*Z106),)</f>
        <v>0</v>
      </c>
      <c r="AG106" s="295">
        <f t="shared" ref="AG106:AG115" si="74">IF(I106,((VLOOKUP($B106,$E$7:$AE$16,7+20)+1)*AA106),)</f>
        <v>0</v>
      </c>
    </row>
    <row r="107" spans="1:33" ht="15">
      <c r="A107" s="43">
        <f t="shared" si="50"/>
        <v>81</v>
      </c>
      <c r="B107" s="197">
        <v>4</v>
      </c>
      <c r="C107" s="288" t="s">
        <v>195</v>
      </c>
      <c r="D107" s="293">
        <v>0</v>
      </c>
      <c r="E107" s="284"/>
      <c r="F107" s="284"/>
      <c r="G107" s="293">
        <v>0</v>
      </c>
      <c r="H107" s="284"/>
      <c r="I107" s="293">
        <v>0</v>
      </c>
      <c r="J107" s="293">
        <f t="shared" si="51"/>
        <v>0</v>
      </c>
      <c r="K107" s="284">
        <f t="shared" si="52"/>
        <v>0</v>
      </c>
      <c r="L107" s="284">
        <f t="shared" si="53"/>
        <v>0</v>
      </c>
      <c r="M107" s="285">
        <f t="shared" si="54"/>
        <v>0</v>
      </c>
      <c r="N107" s="284">
        <f t="shared" si="55"/>
        <v>0</v>
      </c>
      <c r="O107" s="295">
        <f t="shared" si="56"/>
        <v>0</v>
      </c>
      <c r="P107" s="293">
        <f t="shared" si="57"/>
        <v>0</v>
      </c>
      <c r="Q107" s="284">
        <f t="shared" si="58"/>
        <v>0</v>
      </c>
      <c r="R107" s="284">
        <f t="shared" si="59"/>
        <v>0</v>
      </c>
      <c r="S107" s="285">
        <f t="shared" si="60"/>
        <v>0</v>
      </c>
      <c r="T107" s="284">
        <f t="shared" si="61"/>
        <v>0</v>
      </c>
      <c r="U107" s="295">
        <f t="shared" si="62"/>
        <v>0</v>
      </c>
      <c r="V107" s="293">
        <f t="shared" si="63"/>
        <v>0</v>
      </c>
      <c r="W107" s="284">
        <f t="shared" si="64"/>
        <v>0</v>
      </c>
      <c r="X107" s="284">
        <f t="shared" si="65"/>
        <v>0</v>
      </c>
      <c r="Y107" s="285">
        <f t="shared" si="66"/>
        <v>0</v>
      </c>
      <c r="Z107" s="284">
        <f t="shared" si="67"/>
        <v>0</v>
      </c>
      <c r="AA107" s="295">
        <f t="shared" si="68"/>
        <v>0</v>
      </c>
      <c r="AB107" s="293">
        <f t="shared" si="69"/>
        <v>0</v>
      </c>
      <c r="AC107" s="284">
        <f t="shared" si="70"/>
        <v>0</v>
      </c>
      <c r="AD107" s="284">
        <f t="shared" si="71"/>
        <v>0</v>
      </c>
      <c r="AE107" s="285">
        <f t="shared" si="72"/>
        <v>0</v>
      </c>
      <c r="AF107" s="284">
        <f t="shared" si="73"/>
        <v>0</v>
      </c>
      <c r="AG107" s="295">
        <f t="shared" si="74"/>
        <v>0</v>
      </c>
    </row>
    <row r="108" spans="1:33" ht="15">
      <c r="A108" s="43">
        <f t="shared" si="50"/>
        <v>82</v>
      </c>
      <c r="B108" s="197"/>
      <c r="C108" s="287" t="s">
        <v>196</v>
      </c>
      <c r="D108" s="291"/>
      <c r="E108" s="282"/>
      <c r="F108" s="282"/>
      <c r="G108" s="282"/>
      <c r="H108" s="282"/>
      <c r="I108" s="292"/>
      <c r="J108" s="291">
        <f t="shared" si="51"/>
        <v>0</v>
      </c>
      <c r="K108" s="282">
        <f t="shared" si="52"/>
        <v>0</v>
      </c>
      <c r="L108" s="282">
        <f t="shared" si="53"/>
        <v>0</v>
      </c>
      <c r="M108" s="282">
        <f t="shared" si="54"/>
        <v>0</v>
      </c>
      <c r="N108" s="282">
        <f t="shared" si="55"/>
        <v>0</v>
      </c>
      <c r="O108" s="292">
        <f t="shared" si="56"/>
        <v>0</v>
      </c>
      <c r="P108" s="291">
        <f t="shared" si="57"/>
        <v>0</v>
      </c>
      <c r="Q108" s="282">
        <f t="shared" si="58"/>
        <v>0</v>
      </c>
      <c r="R108" s="282">
        <f t="shared" si="59"/>
        <v>0</v>
      </c>
      <c r="S108" s="282">
        <f t="shared" si="60"/>
        <v>0</v>
      </c>
      <c r="T108" s="282">
        <f t="shared" si="61"/>
        <v>0</v>
      </c>
      <c r="U108" s="292">
        <f t="shared" si="62"/>
        <v>0</v>
      </c>
      <c r="V108" s="291">
        <f t="shared" si="63"/>
        <v>0</v>
      </c>
      <c r="W108" s="282">
        <f t="shared" si="64"/>
        <v>0</v>
      </c>
      <c r="X108" s="282">
        <f t="shared" si="65"/>
        <v>0</v>
      </c>
      <c r="Y108" s="282">
        <f t="shared" si="66"/>
        <v>0</v>
      </c>
      <c r="Z108" s="282">
        <f t="shared" si="67"/>
        <v>0</v>
      </c>
      <c r="AA108" s="292">
        <f t="shared" si="68"/>
        <v>0</v>
      </c>
      <c r="AB108" s="291">
        <f t="shared" si="69"/>
        <v>0</v>
      </c>
      <c r="AC108" s="282">
        <f t="shared" si="70"/>
        <v>0</v>
      </c>
      <c r="AD108" s="282">
        <f t="shared" si="71"/>
        <v>0</v>
      </c>
      <c r="AE108" s="282">
        <f t="shared" si="72"/>
        <v>0</v>
      </c>
      <c r="AF108" s="282">
        <f t="shared" si="73"/>
        <v>0</v>
      </c>
      <c r="AG108" s="292">
        <f t="shared" si="74"/>
        <v>0</v>
      </c>
    </row>
    <row r="109" spans="1:33" ht="15">
      <c r="A109" s="43">
        <f t="shared" si="50"/>
        <v>83</v>
      </c>
      <c r="B109" s="197">
        <v>4</v>
      </c>
      <c r="C109" s="288" t="s">
        <v>102</v>
      </c>
      <c r="D109" s="293">
        <v>130.2286029240839</v>
      </c>
      <c r="E109" s="293">
        <v>867.1493329537202</v>
      </c>
      <c r="F109" s="293">
        <v>897.89995991983972</v>
      </c>
      <c r="G109" s="293">
        <v>11</v>
      </c>
      <c r="H109" s="284"/>
      <c r="I109" s="293">
        <v>31</v>
      </c>
      <c r="J109" s="293">
        <f t="shared" si="51"/>
        <v>130.2286029240839</v>
      </c>
      <c r="K109" s="283">
        <f t="shared" si="52"/>
        <v>867.1493329537202</v>
      </c>
      <c r="L109" s="283">
        <f t="shared" si="53"/>
        <v>897.89995991983972</v>
      </c>
      <c r="M109" s="285">
        <f t="shared" si="54"/>
        <v>11</v>
      </c>
      <c r="N109" s="284">
        <f t="shared" si="55"/>
        <v>0</v>
      </c>
      <c r="O109" s="295">
        <f t="shared" si="56"/>
        <v>31</v>
      </c>
      <c r="P109" s="293">
        <f t="shared" si="57"/>
        <v>130.2286029240839</v>
      </c>
      <c r="Q109" s="283">
        <f t="shared" si="58"/>
        <v>867.1493329537202</v>
      </c>
      <c r="R109" s="283">
        <f t="shared" si="59"/>
        <v>897.89995991983972</v>
      </c>
      <c r="S109" s="285">
        <f t="shared" si="60"/>
        <v>11</v>
      </c>
      <c r="T109" s="284">
        <f t="shared" si="61"/>
        <v>0</v>
      </c>
      <c r="U109" s="295">
        <f t="shared" si="62"/>
        <v>31</v>
      </c>
      <c r="V109" s="293">
        <f t="shared" si="63"/>
        <v>130.2286029240839</v>
      </c>
      <c r="W109" s="283">
        <f t="shared" si="64"/>
        <v>867.1493329537202</v>
      </c>
      <c r="X109" s="283">
        <f t="shared" si="65"/>
        <v>897.89995991983972</v>
      </c>
      <c r="Y109" s="285">
        <f t="shared" si="66"/>
        <v>11</v>
      </c>
      <c r="Z109" s="284">
        <f t="shared" si="67"/>
        <v>0</v>
      </c>
      <c r="AA109" s="295">
        <f t="shared" si="68"/>
        <v>31</v>
      </c>
      <c r="AB109" s="293">
        <f t="shared" si="69"/>
        <v>130.2286029240839</v>
      </c>
      <c r="AC109" s="283">
        <f t="shared" si="70"/>
        <v>867.1493329537202</v>
      </c>
      <c r="AD109" s="283">
        <f t="shared" si="71"/>
        <v>897.89995991983972</v>
      </c>
      <c r="AE109" s="285">
        <f t="shared" si="72"/>
        <v>11</v>
      </c>
      <c r="AF109" s="284">
        <f t="shared" si="73"/>
        <v>0</v>
      </c>
      <c r="AG109" s="295">
        <f t="shared" si="74"/>
        <v>31</v>
      </c>
    </row>
    <row r="110" spans="1:33" ht="15">
      <c r="A110" s="43">
        <f t="shared" si="50"/>
        <v>84</v>
      </c>
      <c r="B110" s="197">
        <v>4</v>
      </c>
      <c r="C110" s="288" t="s">
        <v>197</v>
      </c>
      <c r="D110" s="293">
        <v>0</v>
      </c>
      <c r="E110" s="293">
        <v>0</v>
      </c>
      <c r="F110" s="293">
        <v>0</v>
      </c>
      <c r="G110" s="293">
        <v>0</v>
      </c>
      <c r="H110" s="284"/>
      <c r="I110" s="293">
        <v>0</v>
      </c>
      <c r="J110" s="293">
        <f t="shared" si="51"/>
        <v>0</v>
      </c>
      <c r="K110" s="283">
        <f t="shared" si="52"/>
        <v>0</v>
      </c>
      <c r="L110" s="283">
        <f t="shared" si="53"/>
        <v>0</v>
      </c>
      <c r="M110" s="285">
        <f t="shared" si="54"/>
        <v>0</v>
      </c>
      <c r="N110" s="284">
        <f t="shared" si="55"/>
        <v>0</v>
      </c>
      <c r="O110" s="295">
        <f t="shared" si="56"/>
        <v>0</v>
      </c>
      <c r="P110" s="293">
        <f t="shared" si="57"/>
        <v>0</v>
      </c>
      <c r="Q110" s="283">
        <f t="shared" si="58"/>
        <v>0</v>
      </c>
      <c r="R110" s="283">
        <f t="shared" si="59"/>
        <v>0</v>
      </c>
      <c r="S110" s="285">
        <f t="shared" si="60"/>
        <v>0</v>
      </c>
      <c r="T110" s="284">
        <f t="shared" si="61"/>
        <v>0</v>
      </c>
      <c r="U110" s="295">
        <f t="shared" si="62"/>
        <v>0</v>
      </c>
      <c r="V110" s="293">
        <f t="shared" si="63"/>
        <v>0</v>
      </c>
      <c r="W110" s="283">
        <f t="shared" si="64"/>
        <v>0</v>
      </c>
      <c r="X110" s="283">
        <f t="shared" si="65"/>
        <v>0</v>
      </c>
      <c r="Y110" s="285">
        <f t="shared" si="66"/>
        <v>0</v>
      </c>
      <c r="Z110" s="284">
        <f t="shared" si="67"/>
        <v>0</v>
      </c>
      <c r="AA110" s="295">
        <f t="shared" si="68"/>
        <v>0</v>
      </c>
      <c r="AB110" s="293">
        <f t="shared" si="69"/>
        <v>0</v>
      </c>
      <c r="AC110" s="283">
        <f t="shared" si="70"/>
        <v>0</v>
      </c>
      <c r="AD110" s="283">
        <f t="shared" si="71"/>
        <v>0</v>
      </c>
      <c r="AE110" s="285">
        <f t="shared" si="72"/>
        <v>0</v>
      </c>
      <c r="AF110" s="284">
        <f t="shared" si="73"/>
        <v>0</v>
      </c>
      <c r="AG110" s="295">
        <f t="shared" si="74"/>
        <v>0</v>
      </c>
    </row>
    <row r="111" spans="1:33" ht="15">
      <c r="A111" s="43">
        <f t="shared" si="50"/>
        <v>85</v>
      </c>
      <c r="B111" s="197">
        <v>4</v>
      </c>
      <c r="C111" s="288" t="s">
        <v>198</v>
      </c>
      <c r="D111" s="293">
        <v>0</v>
      </c>
      <c r="E111" s="293">
        <v>0</v>
      </c>
      <c r="F111" s="293">
        <v>0</v>
      </c>
      <c r="G111" s="293">
        <v>0</v>
      </c>
      <c r="H111" s="284"/>
      <c r="I111" s="293">
        <v>0</v>
      </c>
      <c r="J111" s="293">
        <f t="shared" si="51"/>
        <v>0</v>
      </c>
      <c r="K111" s="283">
        <f t="shared" si="52"/>
        <v>0</v>
      </c>
      <c r="L111" s="283">
        <f t="shared" si="53"/>
        <v>0</v>
      </c>
      <c r="M111" s="285">
        <f t="shared" si="54"/>
        <v>0</v>
      </c>
      <c r="N111" s="284">
        <f t="shared" si="55"/>
        <v>0</v>
      </c>
      <c r="O111" s="295">
        <f t="shared" si="56"/>
        <v>0</v>
      </c>
      <c r="P111" s="293">
        <f t="shared" si="57"/>
        <v>0</v>
      </c>
      <c r="Q111" s="283">
        <f t="shared" si="58"/>
        <v>0</v>
      </c>
      <c r="R111" s="283">
        <f t="shared" si="59"/>
        <v>0</v>
      </c>
      <c r="S111" s="285">
        <f t="shared" si="60"/>
        <v>0</v>
      </c>
      <c r="T111" s="284">
        <f t="shared" si="61"/>
        <v>0</v>
      </c>
      <c r="U111" s="295">
        <f t="shared" si="62"/>
        <v>0</v>
      </c>
      <c r="V111" s="293">
        <f t="shared" si="63"/>
        <v>0</v>
      </c>
      <c r="W111" s="283">
        <f t="shared" si="64"/>
        <v>0</v>
      </c>
      <c r="X111" s="283">
        <f t="shared" si="65"/>
        <v>0</v>
      </c>
      <c r="Y111" s="285">
        <f t="shared" si="66"/>
        <v>0</v>
      </c>
      <c r="Z111" s="284">
        <f t="shared" si="67"/>
        <v>0</v>
      </c>
      <c r="AA111" s="295">
        <f t="shared" si="68"/>
        <v>0</v>
      </c>
      <c r="AB111" s="293">
        <f t="shared" si="69"/>
        <v>0</v>
      </c>
      <c r="AC111" s="283">
        <f t="shared" si="70"/>
        <v>0</v>
      </c>
      <c r="AD111" s="283">
        <f t="shared" si="71"/>
        <v>0</v>
      </c>
      <c r="AE111" s="285">
        <f t="shared" si="72"/>
        <v>0</v>
      </c>
      <c r="AF111" s="284">
        <f t="shared" si="73"/>
        <v>0</v>
      </c>
      <c r="AG111" s="295">
        <f t="shared" si="74"/>
        <v>0</v>
      </c>
    </row>
    <row r="112" spans="1:33" ht="15">
      <c r="A112" s="43">
        <f t="shared" si="50"/>
        <v>86</v>
      </c>
      <c r="B112" s="197"/>
      <c r="C112" s="287" t="s">
        <v>199</v>
      </c>
      <c r="D112" s="291"/>
      <c r="E112" s="282"/>
      <c r="F112" s="282"/>
      <c r="G112" s="282"/>
      <c r="H112" s="282"/>
      <c r="I112" s="292"/>
      <c r="J112" s="291">
        <f t="shared" si="51"/>
        <v>0</v>
      </c>
      <c r="K112" s="282">
        <f t="shared" si="52"/>
        <v>0</v>
      </c>
      <c r="L112" s="282">
        <f t="shared" si="53"/>
        <v>0</v>
      </c>
      <c r="M112" s="282">
        <f t="shared" si="54"/>
        <v>0</v>
      </c>
      <c r="N112" s="282">
        <f t="shared" si="55"/>
        <v>0</v>
      </c>
      <c r="O112" s="292">
        <f t="shared" si="56"/>
        <v>0</v>
      </c>
      <c r="P112" s="291">
        <f t="shared" si="57"/>
        <v>0</v>
      </c>
      <c r="Q112" s="282">
        <f t="shared" si="58"/>
        <v>0</v>
      </c>
      <c r="R112" s="282">
        <f t="shared" si="59"/>
        <v>0</v>
      </c>
      <c r="S112" s="282">
        <f t="shared" si="60"/>
        <v>0</v>
      </c>
      <c r="T112" s="282">
        <f t="shared" si="61"/>
        <v>0</v>
      </c>
      <c r="U112" s="292">
        <f t="shared" si="62"/>
        <v>0</v>
      </c>
      <c r="V112" s="291">
        <f t="shared" si="63"/>
        <v>0</v>
      </c>
      <c r="W112" s="282">
        <f t="shared" si="64"/>
        <v>0</v>
      </c>
      <c r="X112" s="282">
        <f t="shared" si="65"/>
        <v>0</v>
      </c>
      <c r="Y112" s="282">
        <f t="shared" si="66"/>
        <v>0</v>
      </c>
      <c r="Z112" s="282">
        <f t="shared" si="67"/>
        <v>0</v>
      </c>
      <c r="AA112" s="292">
        <f t="shared" si="68"/>
        <v>0</v>
      </c>
      <c r="AB112" s="291">
        <f t="shared" si="69"/>
        <v>0</v>
      </c>
      <c r="AC112" s="282">
        <f t="shared" si="70"/>
        <v>0</v>
      </c>
      <c r="AD112" s="282">
        <f t="shared" si="71"/>
        <v>0</v>
      </c>
      <c r="AE112" s="282">
        <f t="shared" si="72"/>
        <v>0</v>
      </c>
      <c r="AF112" s="282">
        <f t="shared" si="73"/>
        <v>0</v>
      </c>
      <c r="AG112" s="292">
        <f t="shared" si="74"/>
        <v>0</v>
      </c>
    </row>
    <row r="113" spans="1:33" ht="15">
      <c r="A113" s="43">
        <f t="shared" si="50"/>
        <v>87</v>
      </c>
      <c r="B113" s="197">
        <v>4</v>
      </c>
      <c r="C113" s="288" t="s">
        <v>103</v>
      </c>
      <c r="D113" s="293">
        <v>37.670999999999999</v>
      </c>
      <c r="E113" s="284"/>
      <c r="F113" s="284"/>
      <c r="G113" s="293">
        <v>1</v>
      </c>
      <c r="H113" s="284"/>
      <c r="I113" s="293">
        <v>0</v>
      </c>
      <c r="J113" s="293">
        <f t="shared" si="51"/>
        <v>37.670999999999999</v>
      </c>
      <c r="K113" s="284">
        <f t="shared" si="52"/>
        <v>0</v>
      </c>
      <c r="L113" s="284">
        <f t="shared" si="53"/>
        <v>0</v>
      </c>
      <c r="M113" s="285">
        <f t="shared" si="54"/>
        <v>1</v>
      </c>
      <c r="N113" s="284">
        <f t="shared" si="55"/>
        <v>0</v>
      </c>
      <c r="O113" s="295">
        <f t="shared" si="56"/>
        <v>0</v>
      </c>
      <c r="P113" s="293">
        <f t="shared" si="57"/>
        <v>37.670999999999999</v>
      </c>
      <c r="Q113" s="284">
        <f t="shared" si="58"/>
        <v>0</v>
      </c>
      <c r="R113" s="284">
        <f t="shared" si="59"/>
        <v>0</v>
      </c>
      <c r="S113" s="285">
        <f t="shared" si="60"/>
        <v>1</v>
      </c>
      <c r="T113" s="284">
        <f t="shared" si="61"/>
        <v>0</v>
      </c>
      <c r="U113" s="295">
        <f t="shared" si="62"/>
        <v>0</v>
      </c>
      <c r="V113" s="293">
        <f t="shared" si="63"/>
        <v>37.670999999999999</v>
      </c>
      <c r="W113" s="284">
        <f t="shared" si="64"/>
        <v>0</v>
      </c>
      <c r="X113" s="284">
        <f t="shared" si="65"/>
        <v>0</v>
      </c>
      <c r="Y113" s="285">
        <f t="shared" si="66"/>
        <v>1</v>
      </c>
      <c r="Z113" s="284">
        <f t="shared" si="67"/>
        <v>0</v>
      </c>
      <c r="AA113" s="295">
        <f t="shared" si="68"/>
        <v>0</v>
      </c>
      <c r="AB113" s="293">
        <f t="shared" si="69"/>
        <v>37.670999999999999</v>
      </c>
      <c r="AC113" s="284">
        <f t="shared" si="70"/>
        <v>0</v>
      </c>
      <c r="AD113" s="284">
        <f t="shared" si="71"/>
        <v>0</v>
      </c>
      <c r="AE113" s="285">
        <f t="shared" si="72"/>
        <v>1</v>
      </c>
      <c r="AF113" s="284">
        <f t="shared" si="73"/>
        <v>0</v>
      </c>
      <c r="AG113" s="295">
        <f t="shared" si="74"/>
        <v>0</v>
      </c>
    </row>
    <row r="114" spans="1:33" ht="15">
      <c r="A114" s="43">
        <f t="shared" si="50"/>
        <v>88</v>
      </c>
      <c r="B114" s="197">
        <v>4</v>
      </c>
      <c r="C114" s="288" t="s">
        <v>200</v>
      </c>
      <c r="D114" s="293">
        <v>0</v>
      </c>
      <c r="E114" s="284"/>
      <c r="F114" s="284"/>
      <c r="G114" s="293">
        <v>0</v>
      </c>
      <c r="H114" s="284"/>
      <c r="I114" s="293">
        <v>0</v>
      </c>
      <c r="J114" s="293">
        <f t="shared" si="51"/>
        <v>0</v>
      </c>
      <c r="K114" s="284">
        <f t="shared" si="52"/>
        <v>0</v>
      </c>
      <c r="L114" s="284">
        <f t="shared" si="53"/>
        <v>0</v>
      </c>
      <c r="M114" s="285">
        <f t="shared" si="54"/>
        <v>0</v>
      </c>
      <c r="N114" s="284">
        <f t="shared" si="55"/>
        <v>0</v>
      </c>
      <c r="O114" s="295">
        <f t="shared" si="56"/>
        <v>0</v>
      </c>
      <c r="P114" s="293">
        <f t="shared" si="57"/>
        <v>0</v>
      </c>
      <c r="Q114" s="284">
        <f t="shared" si="58"/>
        <v>0</v>
      </c>
      <c r="R114" s="284">
        <f t="shared" si="59"/>
        <v>0</v>
      </c>
      <c r="S114" s="285">
        <f t="shared" si="60"/>
        <v>0</v>
      </c>
      <c r="T114" s="284">
        <f t="shared" si="61"/>
        <v>0</v>
      </c>
      <c r="U114" s="295">
        <f t="shared" si="62"/>
        <v>0</v>
      </c>
      <c r="V114" s="293">
        <f t="shared" si="63"/>
        <v>0</v>
      </c>
      <c r="W114" s="284">
        <f t="shared" si="64"/>
        <v>0</v>
      </c>
      <c r="X114" s="284">
        <f t="shared" si="65"/>
        <v>0</v>
      </c>
      <c r="Y114" s="285">
        <f t="shared" si="66"/>
        <v>0</v>
      </c>
      <c r="Z114" s="284">
        <f t="shared" si="67"/>
        <v>0</v>
      </c>
      <c r="AA114" s="295">
        <f t="shared" si="68"/>
        <v>0</v>
      </c>
      <c r="AB114" s="293">
        <f t="shared" si="69"/>
        <v>0</v>
      </c>
      <c r="AC114" s="284">
        <f t="shared" si="70"/>
        <v>0</v>
      </c>
      <c r="AD114" s="284">
        <f t="shared" si="71"/>
        <v>0</v>
      </c>
      <c r="AE114" s="285">
        <f t="shared" si="72"/>
        <v>0</v>
      </c>
      <c r="AF114" s="284">
        <f t="shared" si="73"/>
        <v>0</v>
      </c>
      <c r="AG114" s="295">
        <f t="shared" si="74"/>
        <v>0</v>
      </c>
    </row>
    <row r="115" spans="1:33" ht="15">
      <c r="A115" s="43">
        <f t="shared" si="50"/>
        <v>89</v>
      </c>
      <c r="B115" s="197"/>
      <c r="C115" s="287" t="s">
        <v>201</v>
      </c>
      <c r="D115" s="291"/>
      <c r="E115" s="282"/>
      <c r="F115" s="282"/>
      <c r="G115" s="282"/>
      <c r="H115" s="282"/>
      <c r="I115" s="292"/>
      <c r="J115" s="291">
        <f t="shared" si="51"/>
        <v>0</v>
      </c>
      <c r="K115" s="282">
        <f t="shared" si="52"/>
        <v>0</v>
      </c>
      <c r="L115" s="282">
        <f t="shared" si="53"/>
        <v>0</v>
      </c>
      <c r="M115" s="282">
        <f t="shared" si="54"/>
        <v>0</v>
      </c>
      <c r="N115" s="282">
        <f t="shared" si="55"/>
        <v>0</v>
      </c>
      <c r="O115" s="292">
        <f t="shared" si="56"/>
        <v>0</v>
      </c>
      <c r="P115" s="291">
        <f t="shared" si="57"/>
        <v>0</v>
      </c>
      <c r="Q115" s="282">
        <f t="shared" si="58"/>
        <v>0</v>
      </c>
      <c r="R115" s="282">
        <f t="shared" si="59"/>
        <v>0</v>
      </c>
      <c r="S115" s="282">
        <f t="shared" si="60"/>
        <v>0</v>
      </c>
      <c r="T115" s="282">
        <f t="shared" si="61"/>
        <v>0</v>
      </c>
      <c r="U115" s="292">
        <f t="shared" si="62"/>
        <v>0</v>
      </c>
      <c r="V115" s="291">
        <f t="shared" si="63"/>
        <v>0</v>
      </c>
      <c r="W115" s="282">
        <f t="shared" si="64"/>
        <v>0</v>
      </c>
      <c r="X115" s="282">
        <f t="shared" si="65"/>
        <v>0</v>
      </c>
      <c r="Y115" s="282">
        <f t="shared" si="66"/>
        <v>0</v>
      </c>
      <c r="Z115" s="282">
        <f t="shared" si="67"/>
        <v>0</v>
      </c>
      <c r="AA115" s="292">
        <f t="shared" si="68"/>
        <v>0</v>
      </c>
      <c r="AB115" s="291">
        <f t="shared" si="69"/>
        <v>0</v>
      </c>
      <c r="AC115" s="282">
        <f t="shared" si="70"/>
        <v>0</v>
      </c>
      <c r="AD115" s="282">
        <f t="shared" si="71"/>
        <v>0</v>
      </c>
      <c r="AE115" s="282">
        <f t="shared" si="72"/>
        <v>0</v>
      </c>
      <c r="AF115" s="282">
        <f t="shared" si="73"/>
        <v>0</v>
      </c>
      <c r="AG115" s="292">
        <f t="shared" si="74"/>
        <v>0</v>
      </c>
    </row>
    <row r="116" spans="1:33" ht="15">
      <c r="A116" s="43">
        <f t="shared" si="50"/>
        <v>90</v>
      </c>
      <c r="B116" s="197">
        <v>4</v>
      </c>
      <c r="C116" s="288" t="s">
        <v>104</v>
      </c>
      <c r="D116" s="293">
        <v>0</v>
      </c>
      <c r="E116" s="293">
        <v>0</v>
      </c>
      <c r="F116" s="293">
        <v>0</v>
      </c>
      <c r="G116" s="293">
        <v>0</v>
      </c>
      <c r="H116" s="284"/>
      <c r="I116" s="293">
        <v>0</v>
      </c>
      <c r="J116" s="293">
        <f t="shared" ref="J116:J121" si="75">IF(D116,((VLOOKUP($B116,$E$7:$AE$16,4)+1)*D116),)</f>
        <v>0</v>
      </c>
      <c r="K116" s="283">
        <f t="shared" ref="K116:K121" si="76">IF(E116,((VLOOKUP($B116,$E$7:$AE$16,8)+1)*E116),)</f>
        <v>0</v>
      </c>
      <c r="L116" s="283">
        <f t="shared" ref="L116:L121" si="77">IF(F116,((VLOOKUP($B116,$E$7:$AE$16,12)+1)*F116),)</f>
        <v>0</v>
      </c>
      <c r="M116" s="285">
        <f t="shared" ref="M116:M121" si="78">IF(G116,((VLOOKUP($B116,$E$7:$AE$16,16)+1)*G116),)</f>
        <v>0</v>
      </c>
      <c r="N116" s="284">
        <f t="shared" ref="N116:N121" si="79">IF(H116,((VLOOKUP($B116,$E$7:$AE$16,20)+1)*H116),)</f>
        <v>0</v>
      </c>
      <c r="O116" s="295">
        <f t="shared" ref="O116:O121" si="80">IF(I116,((VLOOKUP($B116,$E$7:$AE$16,24)+1)*I116),)</f>
        <v>0</v>
      </c>
      <c r="P116" s="293">
        <f t="shared" ref="P116:P121" si="81">IF(D116,((VLOOKUP($B116,$E$7:$AE$16,5)+1)*J116),)</f>
        <v>0</v>
      </c>
      <c r="Q116" s="283">
        <f t="shared" ref="Q116:Q121" si="82">IF(E116,((VLOOKUP($B116,$E$7:$AE$16,5+4)+1)*K116),)</f>
        <v>0</v>
      </c>
      <c r="R116" s="283">
        <f t="shared" ref="R116:R121" si="83">IF(F116,((VLOOKUP($B116,$E$7:$AE$16,5+8)+1)*L116),)</f>
        <v>0</v>
      </c>
      <c r="S116" s="285">
        <f t="shared" ref="S116:S121" si="84">IF(G116,((VLOOKUP($B116,$E$7:$AE$16,5+12)+1)*M116),)</f>
        <v>0</v>
      </c>
      <c r="T116" s="284">
        <f t="shared" ref="T116:T121" si="85">IF(H116,((VLOOKUP($B116,$E$7:$AE$16,5+16)+1)*N116),)</f>
        <v>0</v>
      </c>
      <c r="U116" s="295">
        <f t="shared" ref="U116:U121" si="86">IF(I116,((VLOOKUP($B116,$E$7:$AE$16,5+20)+1)*O116),)</f>
        <v>0</v>
      </c>
      <c r="V116" s="293">
        <f t="shared" ref="V116:V121" si="87">IF(D116,((VLOOKUP($B116,$E$7:$AE$16,6)+1)*P116),)</f>
        <v>0</v>
      </c>
      <c r="W116" s="283">
        <f t="shared" ref="W116:W121" si="88">IF(E116,((VLOOKUP($B116,$E$7:$AE$16,6+4)+1)*Q116),)</f>
        <v>0</v>
      </c>
      <c r="X116" s="283">
        <f t="shared" ref="X116:X121" si="89">IF(F116,((VLOOKUP($B116,$E$7:$AE$16,6+8)+1)*R116),)</f>
        <v>0</v>
      </c>
      <c r="Y116" s="285">
        <f t="shared" ref="Y116:Y121" si="90">IF(G116,((VLOOKUP($B116,$E$7:$AE$16,6+12)+1)*S116),)</f>
        <v>0</v>
      </c>
      <c r="Z116" s="284">
        <f t="shared" ref="Z116:Z121" si="91">IF(H116,((VLOOKUP($B116,$E$7:$AE$16,6+16)+1)*T116),)</f>
        <v>0</v>
      </c>
      <c r="AA116" s="295">
        <f t="shared" ref="AA116:AA121" si="92">IF(I116,((VLOOKUP($B116,$E$7:$AE$16,6+20)+1)*U116),)</f>
        <v>0</v>
      </c>
      <c r="AB116" s="293">
        <f t="shared" ref="AB116:AB121" si="93">IF(D116,((VLOOKUP($B116,$E$7:$AE$16,7)+1)*V116),)</f>
        <v>0</v>
      </c>
      <c r="AC116" s="283">
        <f t="shared" ref="AC116:AC121" si="94">IF(E116,((VLOOKUP($B116,$E$7:$AE$16,7+4)+1)*W116),)</f>
        <v>0</v>
      </c>
      <c r="AD116" s="283">
        <f t="shared" ref="AD116:AD121" si="95">IF(F116,((VLOOKUP($B116,$E$7:$AE$16,7+8)+1)*X116),)</f>
        <v>0</v>
      </c>
      <c r="AE116" s="285">
        <f t="shared" ref="AE116:AE121" si="96">IF(G116,((VLOOKUP($B116,$E$7:$AE$16,7+12)+1)*Y116),)</f>
        <v>0</v>
      </c>
      <c r="AF116" s="284">
        <f t="shared" ref="AF116:AF121" si="97">IF(H116,((VLOOKUP($B116,$E$7:$AE$16,7+16)+1)*Z116),)</f>
        <v>0</v>
      </c>
      <c r="AG116" s="295">
        <f t="shared" ref="AG116:AG121" si="98">IF(I116,((VLOOKUP($B116,$E$7:$AE$16,7+20)+1)*AA116),)</f>
        <v>0</v>
      </c>
    </row>
    <row r="117" spans="1:33" ht="15">
      <c r="A117" s="43">
        <f t="shared" si="50"/>
        <v>91</v>
      </c>
      <c r="B117" s="197">
        <v>4</v>
      </c>
      <c r="C117" s="288" t="s">
        <v>202</v>
      </c>
      <c r="D117" s="293">
        <v>0</v>
      </c>
      <c r="E117" s="293">
        <v>0</v>
      </c>
      <c r="F117" s="293">
        <v>0</v>
      </c>
      <c r="G117" s="293">
        <v>0</v>
      </c>
      <c r="H117" s="284"/>
      <c r="I117" s="293">
        <v>0</v>
      </c>
      <c r="J117" s="293">
        <f t="shared" si="75"/>
        <v>0</v>
      </c>
      <c r="K117" s="283">
        <f t="shared" si="76"/>
        <v>0</v>
      </c>
      <c r="L117" s="283">
        <f t="shared" si="77"/>
        <v>0</v>
      </c>
      <c r="M117" s="285">
        <f t="shared" si="78"/>
        <v>0</v>
      </c>
      <c r="N117" s="284">
        <f t="shared" si="79"/>
        <v>0</v>
      </c>
      <c r="O117" s="295">
        <f t="shared" si="80"/>
        <v>0</v>
      </c>
      <c r="P117" s="293">
        <f t="shared" si="81"/>
        <v>0</v>
      </c>
      <c r="Q117" s="283">
        <f t="shared" si="82"/>
        <v>0</v>
      </c>
      <c r="R117" s="283">
        <f t="shared" si="83"/>
        <v>0</v>
      </c>
      <c r="S117" s="285">
        <f t="shared" si="84"/>
        <v>0</v>
      </c>
      <c r="T117" s="284">
        <f t="shared" si="85"/>
        <v>0</v>
      </c>
      <c r="U117" s="295">
        <f t="shared" si="86"/>
        <v>0</v>
      </c>
      <c r="V117" s="293">
        <f t="shared" si="87"/>
        <v>0</v>
      </c>
      <c r="W117" s="283">
        <f t="shared" si="88"/>
        <v>0</v>
      </c>
      <c r="X117" s="283">
        <f t="shared" si="89"/>
        <v>0</v>
      </c>
      <c r="Y117" s="285">
        <f t="shared" si="90"/>
        <v>0</v>
      </c>
      <c r="Z117" s="284">
        <f t="shared" si="91"/>
        <v>0</v>
      </c>
      <c r="AA117" s="295">
        <f t="shared" si="92"/>
        <v>0</v>
      </c>
      <c r="AB117" s="293">
        <f t="shared" si="93"/>
        <v>0</v>
      </c>
      <c r="AC117" s="283">
        <f t="shared" si="94"/>
        <v>0</v>
      </c>
      <c r="AD117" s="283">
        <f t="shared" si="95"/>
        <v>0</v>
      </c>
      <c r="AE117" s="285">
        <f t="shared" si="96"/>
        <v>0</v>
      </c>
      <c r="AF117" s="284">
        <f t="shared" si="97"/>
        <v>0</v>
      </c>
      <c r="AG117" s="295">
        <f t="shared" si="98"/>
        <v>0</v>
      </c>
    </row>
    <row r="118" spans="1:33" ht="15">
      <c r="A118" s="43">
        <f t="shared" si="50"/>
        <v>92</v>
      </c>
      <c r="B118" s="197"/>
      <c r="C118" s="287" t="s">
        <v>203</v>
      </c>
      <c r="D118" s="291"/>
      <c r="E118" s="282"/>
      <c r="F118" s="282"/>
      <c r="G118" s="282"/>
      <c r="H118" s="282"/>
      <c r="I118" s="292"/>
      <c r="J118" s="291">
        <f t="shared" si="75"/>
        <v>0</v>
      </c>
      <c r="K118" s="282">
        <f t="shared" si="76"/>
        <v>0</v>
      </c>
      <c r="L118" s="282">
        <f t="shared" si="77"/>
        <v>0</v>
      </c>
      <c r="M118" s="282">
        <f t="shared" si="78"/>
        <v>0</v>
      </c>
      <c r="N118" s="282">
        <f t="shared" si="79"/>
        <v>0</v>
      </c>
      <c r="O118" s="292">
        <f t="shared" si="80"/>
        <v>0</v>
      </c>
      <c r="P118" s="291">
        <f t="shared" si="81"/>
        <v>0</v>
      </c>
      <c r="Q118" s="282">
        <f t="shared" si="82"/>
        <v>0</v>
      </c>
      <c r="R118" s="282">
        <f t="shared" si="83"/>
        <v>0</v>
      </c>
      <c r="S118" s="282">
        <f t="shared" si="84"/>
        <v>0</v>
      </c>
      <c r="T118" s="282">
        <f t="shared" si="85"/>
        <v>0</v>
      </c>
      <c r="U118" s="292">
        <f t="shared" si="86"/>
        <v>0</v>
      </c>
      <c r="V118" s="291">
        <f t="shared" si="87"/>
        <v>0</v>
      </c>
      <c r="W118" s="282">
        <f t="shared" si="88"/>
        <v>0</v>
      </c>
      <c r="X118" s="282">
        <f t="shared" si="89"/>
        <v>0</v>
      </c>
      <c r="Y118" s="282">
        <f t="shared" si="90"/>
        <v>0</v>
      </c>
      <c r="Z118" s="282">
        <f t="shared" si="91"/>
        <v>0</v>
      </c>
      <c r="AA118" s="292">
        <f t="shared" si="92"/>
        <v>0</v>
      </c>
      <c r="AB118" s="291">
        <f t="shared" si="93"/>
        <v>0</v>
      </c>
      <c r="AC118" s="282">
        <f t="shared" si="94"/>
        <v>0</v>
      </c>
      <c r="AD118" s="282">
        <f t="shared" si="95"/>
        <v>0</v>
      </c>
      <c r="AE118" s="282">
        <f t="shared" si="96"/>
        <v>0</v>
      </c>
      <c r="AF118" s="282">
        <f t="shared" si="97"/>
        <v>0</v>
      </c>
      <c r="AG118" s="292">
        <f t="shared" si="98"/>
        <v>0</v>
      </c>
    </row>
    <row r="119" spans="1:33" ht="15">
      <c r="A119" s="43">
        <f t="shared" si="50"/>
        <v>93</v>
      </c>
      <c r="B119" s="197">
        <v>4</v>
      </c>
      <c r="C119" s="288" t="s">
        <v>112</v>
      </c>
      <c r="D119" s="293">
        <v>44577.689286771631</v>
      </c>
      <c r="E119" s="284"/>
      <c r="F119" s="284"/>
      <c r="G119" s="293">
        <v>27</v>
      </c>
      <c r="H119" s="284"/>
      <c r="I119" s="293">
        <v>859</v>
      </c>
      <c r="J119" s="293">
        <f t="shared" si="75"/>
        <v>44577.689286771631</v>
      </c>
      <c r="K119" s="284">
        <f t="shared" si="76"/>
        <v>0</v>
      </c>
      <c r="L119" s="284">
        <f t="shared" si="77"/>
        <v>0</v>
      </c>
      <c r="M119" s="285">
        <f t="shared" si="78"/>
        <v>27</v>
      </c>
      <c r="N119" s="284">
        <f t="shared" si="79"/>
        <v>0</v>
      </c>
      <c r="O119" s="295">
        <f t="shared" si="80"/>
        <v>859</v>
      </c>
      <c r="P119" s="293">
        <f t="shared" si="81"/>
        <v>44577.689286771631</v>
      </c>
      <c r="Q119" s="284">
        <f t="shared" si="82"/>
        <v>0</v>
      </c>
      <c r="R119" s="284">
        <f t="shared" si="83"/>
        <v>0</v>
      </c>
      <c r="S119" s="285">
        <f t="shared" si="84"/>
        <v>27</v>
      </c>
      <c r="T119" s="284">
        <f t="shared" si="85"/>
        <v>0</v>
      </c>
      <c r="U119" s="295">
        <f t="shared" si="86"/>
        <v>859</v>
      </c>
      <c r="V119" s="293">
        <f t="shared" si="87"/>
        <v>44577.689286771631</v>
      </c>
      <c r="W119" s="284">
        <f t="shared" si="88"/>
        <v>0</v>
      </c>
      <c r="X119" s="284">
        <f t="shared" si="89"/>
        <v>0</v>
      </c>
      <c r="Y119" s="285">
        <f t="shared" si="90"/>
        <v>27</v>
      </c>
      <c r="Z119" s="284">
        <f t="shared" si="91"/>
        <v>0</v>
      </c>
      <c r="AA119" s="295">
        <f t="shared" si="92"/>
        <v>859</v>
      </c>
      <c r="AB119" s="293">
        <f t="shared" si="93"/>
        <v>44577.689286771631</v>
      </c>
      <c r="AC119" s="284">
        <f t="shared" si="94"/>
        <v>0</v>
      </c>
      <c r="AD119" s="284">
        <f t="shared" si="95"/>
        <v>0</v>
      </c>
      <c r="AE119" s="285">
        <f t="shared" si="96"/>
        <v>27</v>
      </c>
      <c r="AF119" s="284">
        <f t="shared" si="97"/>
        <v>0</v>
      </c>
      <c r="AG119" s="295">
        <f t="shared" si="98"/>
        <v>859</v>
      </c>
    </row>
    <row r="120" spans="1:33" ht="15">
      <c r="A120" s="43">
        <f t="shared" si="50"/>
        <v>94</v>
      </c>
      <c r="B120" s="197">
        <v>4</v>
      </c>
      <c r="C120" s="288" t="s">
        <v>204</v>
      </c>
      <c r="D120" s="293">
        <v>0</v>
      </c>
      <c r="E120" s="284"/>
      <c r="F120" s="284"/>
      <c r="G120" s="293">
        <v>0</v>
      </c>
      <c r="H120" s="284"/>
      <c r="I120" s="293">
        <v>0</v>
      </c>
      <c r="J120" s="293">
        <f t="shared" si="75"/>
        <v>0</v>
      </c>
      <c r="K120" s="284">
        <f t="shared" si="76"/>
        <v>0</v>
      </c>
      <c r="L120" s="284">
        <f t="shared" si="77"/>
        <v>0</v>
      </c>
      <c r="M120" s="285">
        <f t="shared" si="78"/>
        <v>0</v>
      </c>
      <c r="N120" s="284">
        <f t="shared" si="79"/>
        <v>0</v>
      </c>
      <c r="O120" s="295">
        <f t="shared" si="80"/>
        <v>0</v>
      </c>
      <c r="P120" s="293">
        <f t="shared" si="81"/>
        <v>0</v>
      </c>
      <c r="Q120" s="284">
        <f t="shared" si="82"/>
        <v>0</v>
      </c>
      <c r="R120" s="284">
        <f t="shared" si="83"/>
        <v>0</v>
      </c>
      <c r="S120" s="285">
        <f t="shared" si="84"/>
        <v>0</v>
      </c>
      <c r="T120" s="284">
        <f t="shared" si="85"/>
        <v>0</v>
      </c>
      <c r="U120" s="295">
        <f t="shared" si="86"/>
        <v>0</v>
      </c>
      <c r="V120" s="293">
        <f t="shared" si="87"/>
        <v>0</v>
      </c>
      <c r="W120" s="284">
        <f t="shared" si="88"/>
        <v>0</v>
      </c>
      <c r="X120" s="284">
        <f t="shared" si="89"/>
        <v>0</v>
      </c>
      <c r="Y120" s="285">
        <f t="shared" si="90"/>
        <v>0</v>
      </c>
      <c r="Z120" s="284">
        <f t="shared" si="91"/>
        <v>0</v>
      </c>
      <c r="AA120" s="295">
        <f t="shared" si="92"/>
        <v>0</v>
      </c>
      <c r="AB120" s="293">
        <f t="shared" si="93"/>
        <v>0</v>
      </c>
      <c r="AC120" s="284">
        <f t="shared" si="94"/>
        <v>0</v>
      </c>
      <c r="AD120" s="284">
        <f t="shared" si="95"/>
        <v>0</v>
      </c>
      <c r="AE120" s="285">
        <f t="shared" si="96"/>
        <v>0</v>
      </c>
      <c r="AF120" s="284">
        <f t="shared" si="97"/>
        <v>0</v>
      </c>
      <c r="AG120" s="295">
        <f t="shared" si="98"/>
        <v>0</v>
      </c>
    </row>
    <row r="121" spans="1:33" ht="15">
      <c r="A121" s="43">
        <f t="shared" si="50"/>
        <v>95</v>
      </c>
      <c r="B121" s="197"/>
      <c r="C121" s="287" t="s">
        <v>205</v>
      </c>
      <c r="D121" s="291"/>
      <c r="E121" s="282"/>
      <c r="F121" s="282"/>
      <c r="G121" s="282"/>
      <c r="H121" s="282"/>
      <c r="I121" s="292"/>
      <c r="J121" s="291">
        <f t="shared" si="75"/>
        <v>0</v>
      </c>
      <c r="K121" s="282">
        <f t="shared" si="76"/>
        <v>0</v>
      </c>
      <c r="L121" s="282">
        <f t="shared" si="77"/>
        <v>0</v>
      </c>
      <c r="M121" s="282">
        <f t="shared" si="78"/>
        <v>0</v>
      </c>
      <c r="N121" s="282">
        <f t="shared" si="79"/>
        <v>0</v>
      </c>
      <c r="O121" s="292">
        <f t="shared" si="80"/>
        <v>0</v>
      </c>
      <c r="P121" s="291">
        <f t="shared" si="81"/>
        <v>0</v>
      </c>
      <c r="Q121" s="282">
        <f t="shared" si="82"/>
        <v>0</v>
      </c>
      <c r="R121" s="282">
        <f t="shared" si="83"/>
        <v>0</v>
      </c>
      <c r="S121" s="282">
        <f t="shared" si="84"/>
        <v>0</v>
      </c>
      <c r="T121" s="282">
        <f t="shared" si="85"/>
        <v>0</v>
      </c>
      <c r="U121" s="292">
        <f t="shared" si="86"/>
        <v>0</v>
      </c>
      <c r="V121" s="291">
        <f t="shared" si="87"/>
        <v>0</v>
      </c>
      <c r="W121" s="282">
        <f t="shared" si="88"/>
        <v>0</v>
      </c>
      <c r="X121" s="282">
        <f t="shared" si="89"/>
        <v>0</v>
      </c>
      <c r="Y121" s="282">
        <f t="shared" si="90"/>
        <v>0</v>
      </c>
      <c r="Z121" s="282">
        <f t="shared" si="91"/>
        <v>0</v>
      </c>
      <c r="AA121" s="292">
        <f t="shared" si="92"/>
        <v>0</v>
      </c>
      <c r="AB121" s="291">
        <f t="shared" si="93"/>
        <v>0</v>
      </c>
      <c r="AC121" s="282">
        <f t="shared" si="94"/>
        <v>0</v>
      </c>
      <c r="AD121" s="282">
        <f t="shared" si="95"/>
        <v>0</v>
      </c>
      <c r="AE121" s="282">
        <f t="shared" si="96"/>
        <v>0</v>
      </c>
      <c r="AF121" s="282">
        <f t="shared" si="97"/>
        <v>0</v>
      </c>
      <c r="AG121" s="292">
        <f t="shared" si="98"/>
        <v>0</v>
      </c>
    </row>
    <row r="122" spans="1:33" ht="15">
      <c r="A122" s="43">
        <f t="shared" si="50"/>
        <v>96</v>
      </c>
      <c r="B122" s="197">
        <v>4</v>
      </c>
      <c r="C122" s="288" t="s">
        <v>113</v>
      </c>
      <c r="D122" s="293">
        <v>9070.7235647319703</v>
      </c>
      <c r="E122" s="293">
        <v>44174.558442663067</v>
      </c>
      <c r="F122" s="293">
        <v>48120.15616862481</v>
      </c>
      <c r="G122" s="293">
        <v>27</v>
      </c>
      <c r="H122" s="284"/>
      <c r="I122" s="293">
        <v>742</v>
      </c>
      <c r="J122" s="293">
        <f t="shared" ref="J122:J123" si="99">IF(D122,((VLOOKUP($B122,$E$7:$AE$16,4)+1)*D122),)</f>
        <v>9070.7235647319703</v>
      </c>
      <c r="K122" s="283">
        <f t="shared" ref="K122:K123" si="100">IF(E122,((VLOOKUP($B122,$E$7:$AE$16,8)+1)*E122),)</f>
        <v>44174.558442663067</v>
      </c>
      <c r="L122" s="283">
        <f t="shared" ref="L122:L123" si="101">IF(F122,((VLOOKUP($B122,$E$7:$AE$16,12)+1)*F122),)</f>
        <v>48120.15616862481</v>
      </c>
      <c r="M122" s="285">
        <f t="shared" ref="M122:M123" si="102">IF(G122,((VLOOKUP($B122,$E$7:$AE$16,16)+1)*G122),)</f>
        <v>27</v>
      </c>
      <c r="N122" s="284">
        <f t="shared" ref="N122:N123" si="103">IF(H122,((VLOOKUP($B122,$E$7:$AE$16,20)+1)*H122),)</f>
        <v>0</v>
      </c>
      <c r="O122" s="295">
        <f t="shared" ref="O122:O123" si="104">IF(I122,((VLOOKUP($B122,$E$7:$AE$16,24)+1)*I122),)</f>
        <v>742</v>
      </c>
      <c r="P122" s="293">
        <f t="shared" ref="P122:P123" si="105">IF(D122,((VLOOKUP($B122,$E$7:$AE$16,5)+1)*J122),)</f>
        <v>9070.7235647319703</v>
      </c>
      <c r="Q122" s="283">
        <f t="shared" ref="Q122:Q123" si="106">IF(E122,((VLOOKUP($B122,$E$7:$AE$16,5+4)+1)*K122),)</f>
        <v>44174.558442663067</v>
      </c>
      <c r="R122" s="283">
        <f t="shared" ref="R122:R123" si="107">IF(F122,((VLOOKUP($B122,$E$7:$AE$16,5+8)+1)*L122),)</f>
        <v>48120.15616862481</v>
      </c>
      <c r="S122" s="285">
        <f t="shared" ref="S122:S123" si="108">IF(G122,((VLOOKUP($B122,$E$7:$AE$16,5+12)+1)*M122),)</f>
        <v>27</v>
      </c>
      <c r="T122" s="284">
        <f t="shared" ref="T122:T123" si="109">IF(H122,((VLOOKUP($B122,$E$7:$AE$16,5+16)+1)*N122),)</f>
        <v>0</v>
      </c>
      <c r="U122" s="295">
        <f t="shared" ref="U122:U123" si="110">IF(I122,((VLOOKUP($B122,$E$7:$AE$16,5+20)+1)*O122),)</f>
        <v>742</v>
      </c>
      <c r="V122" s="293">
        <f t="shared" ref="V122:V123" si="111">IF(D122,((VLOOKUP($B122,$E$7:$AE$16,6)+1)*P122),)</f>
        <v>9070.7235647319703</v>
      </c>
      <c r="W122" s="283">
        <f t="shared" ref="W122:W123" si="112">IF(E122,((VLOOKUP($B122,$E$7:$AE$16,6+4)+1)*Q122),)</f>
        <v>44174.558442663067</v>
      </c>
      <c r="X122" s="283">
        <f t="shared" ref="X122:X123" si="113">IF(F122,((VLOOKUP($B122,$E$7:$AE$16,6+8)+1)*R122),)</f>
        <v>48120.15616862481</v>
      </c>
      <c r="Y122" s="285">
        <f t="shared" ref="Y122:Y123" si="114">IF(G122,((VLOOKUP($B122,$E$7:$AE$16,6+12)+1)*S122),)</f>
        <v>27</v>
      </c>
      <c r="Z122" s="284">
        <f t="shared" ref="Z122:Z123" si="115">IF(H122,((VLOOKUP($B122,$E$7:$AE$16,6+16)+1)*T122),)</f>
        <v>0</v>
      </c>
      <c r="AA122" s="295">
        <f t="shared" ref="AA122:AA123" si="116">IF(I122,((VLOOKUP($B122,$E$7:$AE$16,6+20)+1)*U122),)</f>
        <v>742</v>
      </c>
      <c r="AB122" s="293">
        <f t="shared" ref="AB122:AB123" si="117">IF(D122,((VLOOKUP($B122,$E$7:$AE$16,7)+1)*V122),)</f>
        <v>9070.7235647319703</v>
      </c>
      <c r="AC122" s="283">
        <f t="shared" ref="AC122:AC123" si="118">IF(E122,((VLOOKUP($B122,$E$7:$AE$16,7+4)+1)*W122),)</f>
        <v>44174.558442663067</v>
      </c>
      <c r="AD122" s="283">
        <f t="shared" ref="AD122:AD123" si="119">IF(F122,((VLOOKUP($B122,$E$7:$AE$16,7+8)+1)*X122),)</f>
        <v>48120.15616862481</v>
      </c>
      <c r="AE122" s="285">
        <f t="shared" ref="AE122:AE123" si="120">IF(G122,((VLOOKUP($B122,$E$7:$AE$16,7+12)+1)*Y122),)</f>
        <v>27</v>
      </c>
      <c r="AF122" s="284">
        <f t="shared" ref="AF122:AF123" si="121">IF(H122,((VLOOKUP($B122,$E$7:$AE$16,7+16)+1)*Z122),)</f>
        <v>0</v>
      </c>
      <c r="AG122" s="295">
        <f t="shared" ref="AG122:AG123" si="122">IF(I122,((VLOOKUP($B122,$E$7:$AE$16,7+20)+1)*AA122),)</f>
        <v>742</v>
      </c>
    </row>
    <row r="123" spans="1:33" ht="15.75" thickBot="1">
      <c r="A123" s="43">
        <f t="shared" si="50"/>
        <v>97</v>
      </c>
      <c r="B123" s="197">
        <v>4</v>
      </c>
      <c r="C123" s="288" t="s">
        <v>206</v>
      </c>
      <c r="D123" s="293">
        <v>0</v>
      </c>
      <c r="E123" s="293">
        <v>0</v>
      </c>
      <c r="F123" s="293">
        <v>0</v>
      </c>
      <c r="G123" s="293">
        <v>0</v>
      </c>
      <c r="H123" s="299"/>
      <c r="I123" s="293">
        <v>0</v>
      </c>
      <c r="J123" s="296">
        <f t="shared" si="99"/>
        <v>0</v>
      </c>
      <c r="K123" s="297">
        <f t="shared" si="100"/>
        <v>0</v>
      </c>
      <c r="L123" s="297">
        <f t="shared" si="101"/>
        <v>0</v>
      </c>
      <c r="M123" s="298">
        <f t="shared" si="102"/>
        <v>0</v>
      </c>
      <c r="N123" s="299">
        <f t="shared" si="103"/>
        <v>0</v>
      </c>
      <c r="O123" s="300">
        <f t="shared" si="104"/>
        <v>0</v>
      </c>
      <c r="P123" s="296">
        <f t="shared" si="105"/>
        <v>0</v>
      </c>
      <c r="Q123" s="297">
        <f t="shared" si="106"/>
        <v>0</v>
      </c>
      <c r="R123" s="297">
        <f t="shared" si="107"/>
        <v>0</v>
      </c>
      <c r="S123" s="298">
        <f t="shared" si="108"/>
        <v>0</v>
      </c>
      <c r="T123" s="299">
        <f t="shared" si="109"/>
        <v>0</v>
      </c>
      <c r="U123" s="300">
        <f t="shared" si="110"/>
        <v>0</v>
      </c>
      <c r="V123" s="296">
        <f t="shared" si="111"/>
        <v>0</v>
      </c>
      <c r="W123" s="297">
        <f t="shared" si="112"/>
        <v>0</v>
      </c>
      <c r="X123" s="297">
        <f t="shared" si="113"/>
        <v>0</v>
      </c>
      <c r="Y123" s="298">
        <f t="shared" si="114"/>
        <v>0</v>
      </c>
      <c r="Z123" s="299">
        <f t="shared" si="115"/>
        <v>0</v>
      </c>
      <c r="AA123" s="300">
        <f t="shared" si="116"/>
        <v>0</v>
      </c>
      <c r="AB123" s="296">
        <f t="shared" si="117"/>
        <v>0</v>
      </c>
      <c r="AC123" s="297">
        <f t="shared" si="118"/>
        <v>0</v>
      </c>
      <c r="AD123" s="297">
        <f t="shared" si="119"/>
        <v>0</v>
      </c>
      <c r="AE123" s="298">
        <f t="shared" si="120"/>
        <v>0</v>
      </c>
      <c r="AF123" s="299">
        <f t="shared" si="121"/>
        <v>0</v>
      </c>
      <c r="AG123" s="300">
        <f t="shared" si="122"/>
        <v>0</v>
      </c>
    </row>
    <row r="124" spans="1:33">
      <c r="B124" s="43"/>
      <c r="D124" s="196"/>
      <c r="E124" s="196"/>
      <c r="F124" s="196"/>
    </row>
  </sheetData>
  <mergeCells count="12">
    <mergeCell ref="G3:AE3"/>
    <mergeCell ref="G4:K4"/>
    <mergeCell ref="L4:O4"/>
    <mergeCell ref="P4:S4"/>
    <mergeCell ref="T4:W4"/>
    <mergeCell ref="X4:AA4"/>
    <mergeCell ref="AB4:AE4"/>
    <mergeCell ref="D25:I25"/>
    <mergeCell ref="J25:O25"/>
    <mergeCell ref="P25:U25"/>
    <mergeCell ref="V25:AA25"/>
    <mergeCell ref="AB25:AG25"/>
  </mergeCells>
  <dataValidations count="2">
    <dataValidation type="textLength" operator="equal" allowBlank="1" showInputMessage="1" showErrorMessage="1" error="This cell should remain blank." sqref="D27:I27 D121:I121 D118:I118 D115:I115 D112:I112 D108:I108 D104:I104 D101:I101 D97:I97 D93:I93 D89:I89 D85:I85 D81:I81 D77:I77 D74:I74 D71:I71 D67:I67 D63:I63 D59:I59 D57:I57 D55:I55 D51:I51 D47:I47 D43:I43 D39:I39 D35:I35 D31:I31">
      <formula1>0</formula1>
    </dataValidation>
    <dataValidation type="decimal" operator="greaterThanOrEqual" allowBlank="1" showInputMessage="1" showErrorMessage="1" errorTitle="Volume data error" error="The volume must be a non-negative number." sqref="D113:I114 D116:I117 D119:I120 D109:I111 D105:I107 D98:I100 D122:I123 D94:I96 D90:I92 D86:I88 D82:I84 D78:I80 D68:I70 D102:I103 D72:I73 D64:I66 D60:I62 D52:I54 D75:I76 D56:I56 D48:I50 D44:I46 D40:I42 D36:I38 D32:I34 D28:I30 D58:I58">
      <formula1>0</formula1>
    </dataValidation>
  </dataValidation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indexed="41"/>
    <pageSetUpPr fitToPage="1"/>
  </sheetPr>
  <dimension ref="B2:I22"/>
  <sheetViews>
    <sheetView showGridLines="0" workbookViewId="0">
      <selection activeCell="C19" sqref="C19"/>
    </sheetView>
  </sheetViews>
  <sheetFormatPr defaultColWidth="8.85546875" defaultRowHeight="12.75"/>
  <cols>
    <col min="1" max="1" width="8.85546875" style="43"/>
    <col min="2" max="2" width="11.42578125" style="43" customWidth="1"/>
    <col min="3" max="3" width="19.42578125" style="43" customWidth="1"/>
    <col min="4" max="5" width="17.140625" style="43" customWidth="1"/>
    <col min="6" max="9" width="20.85546875" style="43" customWidth="1"/>
    <col min="10" max="16384" width="8.85546875" style="43"/>
  </cols>
  <sheetData>
    <row r="2" spans="2:9">
      <c r="B2" s="228" t="s">
        <v>1369</v>
      </c>
    </row>
    <row r="4" spans="2:9" ht="40.5" customHeight="1">
      <c r="C4" s="362" t="s">
        <v>1480</v>
      </c>
      <c r="D4" s="363"/>
    </row>
    <row r="5" spans="2:9" ht="40.5" customHeight="1">
      <c r="C5" s="227" t="s">
        <v>1536</v>
      </c>
      <c r="D5" s="227" t="s">
        <v>1534</v>
      </c>
      <c r="E5" s="226" t="s">
        <v>1479</v>
      </c>
      <c r="F5" s="226" t="s">
        <v>1478</v>
      </c>
      <c r="G5" s="226" t="s">
        <v>1850</v>
      </c>
      <c r="H5" s="226" t="s">
        <v>1851</v>
      </c>
    </row>
    <row r="6" spans="2:9">
      <c r="B6" s="222" t="s">
        <v>233</v>
      </c>
      <c r="C6" s="197" t="s">
        <v>1852</v>
      </c>
      <c r="D6" s="225"/>
      <c r="E6" s="359" t="s">
        <v>1853</v>
      </c>
      <c r="F6" s="359" t="s">
        <v>1853</v>
      </c>
      <c r="G6" s="359" t="s">
        <v>1853</v>
      </c>
      <c r="H6" s="359" t="s">
        <v>1853</v>
      </c>
    </row>
    <row r="7" spans="2:9">
      <c r="B7" s="222"/>
      <c r="C7" s="197"/>
      <c r="D7" s="197"/>
      <c r="E7" s="360"/>
      <c r="F7" s="360"/>
      <c r="G7" s="360"/>
      <c r="H7" s="360"/>
    </row>
    <row r="8" spans="2:9">
      <c r="B8" s="222" t="s">
        <v>1535</v>
      </c>
      <c r="C8" s="197" t="s">
        <v>1854</v>
      </c>
      <c r="D8" s="197" t="s">
        <v>1855</v>
      </c>
      <c r="E8" s="360"/>
      <c r="F8" s="360"/>
      <c r="G8" s="360"/>
      <c r="H8" s="360"/>
    </row>
    <row r="9" spans="2:9">
      <c r="B9" s="222"/>
      <c r="C9" s="197" t="s">
        <v>1856</v>
      </c>
      <c r="D9" s="197" t="s">
        <v>1857</v>
      </c>
      <c r="E9" s="360"/>
      <c r="F9" s="360"/>
      <c r="G9" s="360"/>
      <c r="H9" s="360"/>
    </row>
    <row r="10" spans="2:9">
      <c r="B10" s="222" t="s">
        <v>235</v>
      </c>
      <c r="C10" s="197" t="s">
        <v>1858</v>
      </c>
      <c r="D10" s="197" t="s">
        <v>1859</v>
      </c>
      <c r="E10" s="360"/>
      <c r="F10" s="360"/>
      <c r="G10" s="360"/>
      <c r="H10" s="360"/>
    </row>
    <row r="11" spans="2:9">
      <c r="B11" s="222"/>
      <c r="C11" s="197" t="s">
        <v>1860</v>
      </c>
      <c r="D11" s="197" t="s">
        <v>1861</v>
      </c>
      <c r="E11" s="360"/>
      <c r="F11" s="360"/>
      <c r="G11" s="360"/>
      <c r="H11" s="360"/>
    </row>
    <row r="12" spans="2:9">
      <c r="B12" s="222"/>
      <c r="C12" s="197"/>
      <c r="D12" s="197" t="s">
        <v>1862</v>
      </c>
      <c r="E12" s="361"/>
      <c r="F12" s="361"/>
      <c r="G12" s="361"/>
      <c r="H12" s="361"/>
    </row>
    <row r="14" spans="2:9">
      <c r="C14" s="362" t="s">
        <v>1480</v>
      </c>
      <c r="D14" s="364"/>
      <c r="E14" s="363"/>
    </row>
    <row r="15" spans="2:9" ht="76.5">
      <c r="C15" s="227" t="s">
        <v>1863</v>
      </c>
      <c r="D15" s="227" t="s">
        <v>1864</v>
      </c>
      <c r="E15" s="227" t="s">
        <v>1534</v>
      </c>
      <c r="F15" s="226" t="s">
        <v>1479</v>
      </c>
      <c r="G15" s="226" t="s">
        <v>1478</v>
      </c>
      <c r="H15" s="226" t="s">
        <v>1850</v>
      </c>
      <c r="I15" s="226" t="s">
        <v>1851</v>
      </c>
    </row>
    <row r="16" spans="2:9">
      <c r="B16" s="222" t="s">
        <v>238</v>
      </c>
      <c r="C16" s="197" t="s">
        <v>1852</v>
      </c>
      <c r="D16" s="225"/>
      <c r="E16" s="225"/>
      <c r="F16" s="359" t="s">
        <v>1853</v>
      </c>
      <c r="G16" s="359" t="s">
        <v>1853</v>
      </c>
      <c r="H16" s="359" t="s">
        <v>1853</v>
      </c>
      <c r="I16" s="359" t="s">
        <v>1853</v>
      </c>
    </row>
    <row r="17" spans="2:9">
      <c r="B17" s="222"/>
      <c r="C17" s="197"/>
      <c r="D17" s="197"/>
      <c r="E17" s="197"/>
      <c r="F17" s="360"/>
      <c r="G17" s="360"/>
      <c r="H17" s="360"/>
      <c r="I17" s="360"/>
    </row>
    <row r="18" spans="2:9">
      <c r="B18" s="222" t="s">
        <v>239</v>
      </c>
      <c r="C18" s="197" t="s">
        <v>1854</v>
      </c>
      <c r="D18" s="197" t="s">
        <v>1865</v>
      </c>
      <c r="E18" s="197" t="s">
        <v>1855</v>
      </c>
      <c r="F18" s="360"/>
      <c r="G18" s="360"/>
      <c r="H18" s="360"/>
      <c r="I18" s="360"/>
    </row>
    <row r="19" spans="2:9">
      <c r="B19" s="222"/>
      <c r="C19" s="197" t="s">
        <v>1856</v>
      </c>
      <c r="D19" s="197"/>
      <c r="E19" s="197" t="s">
        <v>1857</v>
      </c>
      <c r="F19" s="360"/>
      <c r="G19" s="360"/>
      <c r="H19" s="360"/>
      <c r="I19" s="360"/>
    </row>
    <row r="20" spans="2:9">
      <c r="B20" s="222" t="s">
        <v>235</v>
      </c>
      <c r="C20" s="197" t="s">
        <v>1858</v>
      </c>
      <c r="D20" s="197" t="s">
        <v>1858</v>
      </c>
      <c r="E20" s="197" t="s">
        <v>1859</v>
      </c>
      <c r="F20" s="360"/>
      <c r="G20" s="360"/>
      <c r="H20" s="360"/>
      <c r="I20" s="360"/>
    </row>
    <row r="21" spans="2:9">
      <c r="B21" s="222"/>
      <c r="C21" s="197" t="s">
        <v>1860</v>
      </c>
      <c r="D21" s="197" t="s">
        <v>1860</v>
      </c>
      <c r="E21" s="197" t="s">
        <v>1861</v>
      </c>
      <c r="F21" s="360"/>
      <c r="G21" s="360"/>
      <c r="H21" s="360"/>
      <c r="I21" s="360"/>
    </row>
    <row r="22" spans="2:9">
      <c r="B22" s="222"/>
      <c r="C22" s="197"/>
      <c r="D22" s="197"/>
      <c r="E22" s="197" t="s">
        <v>1862</v>
      </c>
      <c r="F22" s="361"/>
      <c r="G22" s="361"/>
      <c r="H22" s="361"/>
      <c r="I22" s="361"/>
    </row>
  </sheetData>
  <mergeCells count="10">
    <mergeCell ref="F16:F22"/>
    <mergeCell ref="G16:G22"/>
    <mergeCell ref="H16:H22"/>
    <mergeCell ref="I16:I22"/>
    <mergeCell ref="C4:D4"/>
    <mergeCell ref="E6:E12"/>
    <mergeCell ref="F6:F12"/>
    <mergeCell ref="G6:G12"/>
    <mergeCell ref="H6:H12"/>
    <mergeCell ref="C14:E14"/>
  </mergeCells>
  <pageMargins left="0.74803149606299213" right="0.74803149606299213" top="0.98425196850393704" bottom="0.98425196850393704" header="0.51181102362204722" footer="0.51181102362204722"/>
  <pageSetup paperSize="9" scale="82" orientation="landscape" r:id="rId1"/>
  <headerFooter alignWithMargins="0">
    <oddFooter>&amp;L&amp;Z&amp;F&amp;A&amp;R&amp;D</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dimension ref="A1:K332"/>
  <sheetViews>
    <sheetView showGridLines="0" workbookViewId="0">
      <selection activeCell="A4" sqref="A4:K332"/>
    </sheetView>
  </sheetViews>
  <sheetFormatPr defaultColWidth="8.85546875" defaultRowHeight="12.75"/>
  <cols>
    <col min="1" max="1" width="50.7109375" style="43" customWidth="1"/>
    <col min="2" max="251" width="20.7109375" style="43" customWidth="1"/>
    <col min="252" max="16384" width="8.85546875" style="43"/>
  </cols>
  <sheetData>
    <row r="1" spans="1:11" ht="19.5">
      <c r="A1" s="1" t="s">
        <v>1554</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11" t="s">
        <v>4</v>
      </c>
      <c r="B7" s="13">
        <f>VLOOKUP(Vlookup!B7,'CDCM Forecast Data'!$A$14:$I$271,5,FALSE)</f>
        <v>0</v>
      </c>
      <c r="C7" s="13">
        <f>VLOOKUP(Vlookup!C7,'CDCM Forecast Data'!$A$14:$I$271,5,FALSE)</f>
        <v>0</v>
      </c>
      <c r="D7" s="13">
        <f>VLOOKUP(Vlookup!D7,'CDCM Forecast Data'!$A$14:$I$271,5,FALSE)</f>
        <v>0</v>
      </c>
      <c r="E7" s="10"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1471</v>
      </c>
      <c r="G13"/>
      <c r="H13"/>
      <c r="I13"/>
      <c r="J13"/>
      <c r="K13"/>
    </row>
    <row r="14" spans="1:11" ht="15">
      <c r="A14" s="11" t="s">
        <v>52</v>
      </c>
      <c r="B14" s="16">
        <f>VLOOKUP(Vlookup!B14,'CDCM Forecast Data'!$A$14:$I$271,5,FALSE)</f>
        <v>5.6000000000000001E-2</v>
      </c>
      <c r="C14" s="14">
        <f>VLOOKUP(Vlookup!C14,'CDCM Forecast Data'!$A$14:$I$271,5,FALSE)</f>
        <v>40</v>
      </c>
      <c r="D14" s="5"/>
      <c r="E14" s="4">
        <f>VLOOKUP(Vlookup!E14,'CDCM Forecast Data'!$A$14:$I$271,5,FALSE)</f>
        <v>0.95</v>
      </c>
      <c r="F14" s="14">
        <f>VLOOKUP(Vlookup!F14,'CDCM Forecast Data'!$A$14:$I$271,5,FALSE)</f>
        <v>366</v>
      </c>
      <c r="G14" s="10"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11" t="s">
        <v>60</v>
      </c>
      <c r="B24" s="16">
        <f>VLOOKUP(Vlookup!B24,'CDCM Forecast Data'!$A$14:$I$271,5,FALSE)</f>
        <v>6.3829787234042507E-2</v>
      </c>
      <c r="C24" s="10" t="s">
        <v>262</v>
      </c>
      <c r="D24"/>
      <c r="E24"/>
      <c r="F24"/>
      <c r="G24"/>
      <c r="H24"/>
      <c r="I24"/>
      <c r="J24"/>
      <c r="K24"/>
    </row>
    <row r="25" spans="1:11" ht="15">
      <c r="A25" s="11" t="s">
        <v>61</v>
      </c>
      <c r="B25" s="16">
        <f>VLOOKUP(Vlookup!B25,'CDCM Forecast Data'!$A$14:$I$271,5,FALSE)</f>
        <v>5.2999999999999999E-2</v>
      </c>
      <c r="C25" s="10" t="s">
        <v>262</v>
      </c>
      <c r="D25"/>
      <c r="E25"/>
      <c r="F25"/>
      <c r="G25"/>
      <c r="H25"/>
      <c r="I25"/>
      <c r="J25"/>
      <c r="K25"/>
    </row>
    <row r="26" spans="1:11" ht="15">
      <c r="A26" s="11" t="s">
        <v>62</v>
      </c>
      <c r="B26" s="8"/>
      <c r="C26" s="10" t="s">
        <v>262</v>
      </c>
      <c r="D26"/>
      <c r="E26"/>
      <c r="F26"/>
      <c r="G26"/>
      <c r="H26"/>
      <c r="I26"/>
      <c r="J26"/>
      <c r="K26"/>
    </row>
    <row r="27" spans="1:11" ht="15">
      <c r="A27" s="11" t="s">
        <v>63</v>
      </c>
      <c r="B27" s="16">
        <f>VLOOKUP(Vlookup!B27,'CDCM Forecast Data'!$A$14:$I$271,5,FALSE)</f>
        <v>9.9000000000000005E-2</v>
      </c>
      <c r="C27" s="10" t="s">
        <v>262</v>
      </c>
      <c r="D27"/>
      <c r="E27"/>
      <c r="F27"/>
      <c r="G27"/>
      <c r="H27"/>
      <c r="I27"/>
      <c r="J27"/>
      <c r="K27"/>
    </row>
    <row r="28" spans="1:11" ht="15">
      <c r="A28" s="11" t="s">
        <v>64</v>
      </c>
      <c r="B28" s="8"/>
      <c r="C28" s="10" t="s">
        <v>262</v>
      </c>
      <c r="D28"/>
      <c r="E28"/>
      <c r="F28"/>
      <c r="G28"/>
      <c r="H28"/>
      <c r="I28"/>
      <c r="J28"/>
      <c r="K28"/>
    </row>
    <row r="29" spans="1:11" ht="15">
      <c r="A29" s="11" t="s">
        <v>65</v>
      </c>
      <c r="B29" s="16">
        <f>VLOOKUP(Vlookup!B29,'CDCM Forecast Data'!$A$14:$I$271,5,FALSE)</f>
        <v>0.37</v>
      </c>
      <c r="C29" s="10" t="s">
        <v>262</v>
      </c>
      <c r="D29"/>
      <c r="E29"/>
      <c r="F29"/>
      <c r="G29"/>
      <c r="H29"/>
      <c r="I29"/>
      <c r="J29"/>
      <c r="K29"/>
    </row>
    <row r="30" spans="1:11" ht="15">
      <c r="A30" s="11" t="s">
        <v>66</v>
      </c>
      <c r="B30" s="8"/>
      <c r="C30" s="10" t="s">
        <v>262</v>
      </c>
      <c r="D30"/>
      <c r="E30"/>
      <c r="F30"/>
      <c r="G30"/>
      <c r="H30"/>
      <c r="I30"/>
      <c r="J30"/>
      <c r="K30"/>
    </row>
    <row r="31" spans="1:11" ht="15">
      <c r="A31" s="11" t="s">
        <v>67</v>
      </c>
      <c r="B31" s="8"/>
      <c r="C31" s="10"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11" t="s">
        <v>64</v>
      </c>
      <c r="B36" s="16">
        <f>VLOOKUP(Vlookup!B36,'CDCM Forecast Data'!$A$14:$I$271,5,FALSE)</f>
        <v>0.3</v>
      </c>
      <c r="C36" s="10"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11" t="s">
        <v>71</v>
      </c>
      <c r="B41" s="14">
        <f>VLOOKUP(Vlookup!B41,'CDCM Forecast Data'!$A$14:$I$271,5,FALSE)</f>
        <v>500</v>
      </c>
      <c r="C41" s="10"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11" t="s">
        <v>61</v>
      </c>
      <c r="B46" s="14">
        <f>VLOOKUP(Vlookup!B46,'CDCM Forecast Data'!$A$14:$I$271,5,FALSE)</f>
        <v>126742800.76677673</v>
      </c>
      <c r="C46" s="10" t="s">
        <v>262</v>
      </c>
      <c r="D46"/>
      <c r="E46"/>
      <c r="F46"/>
      <c r="G46"/>
      <c r="H46"/>
      <c r="I46"/>
      <c r="J46"/>
      <c r="K46"/>
    </row>
    <row r="47" spans="1:11" ht="15">
      <c r="A47" s="11" t="s">
        <v>62</v>
      </c>
      <c r="B47" s="14">
        <f>VLOOKUP(Vlookup!B47,'CDCM Forecast Data'!$A$14:$I$271,5,FALSE)</f>
        <v>11727619.484868584</v>
      </c>
      <c r="C47" s="10" t="s">
        <v>262</v>
      </c>
      <c r="D47"/>
      <c r="E47"/>
      <c r="F47"/>
      <c r="G47"/>
      <c r="H47"/>
      <c r="I47"/>
      <c r="J47"/>
      <c r="K47"/>
    </row>
    <row r="48" spans="1:11" ht="15">
      <c r="A48" s="11" t="s">
        <v>63</v>
      </c>
      <c r="B48" s="14">
        <f>VLOOKUP(Vlookup!B48,'CDCM Forecast Data'!$A$14:$I$271,5,FALSE)</f>
        <v>40825605.188071541</v>
      </c>
      <c r="C48" s="10" t="s">
        <v>262</v>
      </c>
      <c r="D48"/>
      <c r="E48"/>
      <c r="F48"/>
      <c r="G48"/>
      <c r="H48"/>
      <c r="I48"/>
      <c r="J48"/>
      <c r="K48"/>
    </row>
    <row r="49" spans="1:11" ht="15">
      <c r="A49" s="11" t="s">
        <v>64</v>
      </c>
      <c r="B49" s="14">
        <f>VLOOKUP(Vlookup!B49,'CDCM Forecast Data'!$A$14:$I$271,5,FALSE)</f>
        <v>28230963.574893132</v>
      </c>
      <c r="C49" s="10" t="s">
        <v>262</v>
      </c>
      <c r="D49"/>
      <c r="E49"/>
      <c r="F49"/>
      <c r="G49"/>
      <c r="H49"/>
      <c r="I49"/>
      <c r="J49"/>
      <c r="K49"/>
    </row>
    <row r="50" spans="1:11" ht="15">
      <c r="A50" s="11" t="s">
        <v>69</v>
      </c>
      <c r="B50" s="14">
        <f>VLOOKUP(Vlookup!B50,'CDCM Forecast Data'!$A$14:$I$271,5,FALSE)</f>
        <v>9082872.9074703008</v>
      </c>
      <c r="C50" s="10" t="s">
        <v>262</v>
      </c>
      <c r="D50"/>
      <c r="E50"/>
      <c r="F50"/>
      <c r="G50"/>
      <c r="H50"/>
      <c r="I50"/>
      <c r="J50"/>
      <c r="K50"/>
    </row>
    <row r="51" spans="1:11" ht="15">
      <c r="A51" s="11" t="s">
        <v>65</v>
      </c>
      <c r="B51" s="14">
        <f>VLOOKUP(Vlookup!B51,'CDCM Forecast Data'!$A$14:$I$271,5,FALSE)</f>
        <v>159925863.4584825</v>
      </c>
      <c r="C51" s="10" t="s">
        <v>262</v>
      </c>
      <c r="D51"/>
      <c r="E51"/>
      <c r="F51"/>
      <c r="G51"/>
      <c r="H51"/>
      <c r="I51"/>
      <c r="J51"/>
      <c r="K51"/>
    </row>
    <row r="52" spans="1:11" ht="15">
      <c r="A52" s="11" t="s">
        <v>66</v>
      </c>
      <c r="B52" s="14">
        <f>VLOOKUP(Vlookup!B52,'CDCM Forecast Data'!$A$14:$I$271,5,FALSE)</f>
        <v>56418406.457029589</v>
      </c>
      <c r="C52" s="10" t="s">
        <v>262</v>
      </c>
      <c r="D52"/>
      <c r="E52"/>
      <c r="F52"/>
      <c r="G52"/>
      <c r="H52"/>
      <c r="I52"/>
      <c r="J52"/>
      <c r="K52"/>
    </row>
    <row r="53" spans="1:11" ht="15">
      <c r="A53" s="11" t="s">
        <v>67</v>
      </c>
      <c r="B53" s="14">
        <f>VLOOKUP(Vlookup!B53,'CDCM Forecast Data'!$A$14:$I$271,5,FALSE)</f>
        <v>120998312.9300973</v>
      </c>
      <c r="C53" s="10"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11" t="s">
        <v>83</v>
      </c>
      <c r="B58" s="14">
        <f>VLOOKUP(Vlookup!B58,'CDCM Forecast Data'!$A$14:$I$271,5,FALSE)</f>
        <v>4818.3125333333337</v>
      </c>
      <c r="C58" s="14">
        <f>VLOOKUP(Vlookup!C58,'CDCM Forecast Data'!$A$14:$I$271,5,FALSE)</f>
        <v>588.84756666666658</v>
      </c>
      <c r="D58" s="14">
        <f>VLOOKUP(Vlookup!D58,'CDCM Forecast Data'!$A$14:$I$271,5,FALSE)</f>
        <v>688.35500833333322</v>
      </c>
      <c r="E58" s="14">
        <f>VLOOKUP(Vlookup!E58,'CDCM Forecast Data'!$A$14:$I$271,5,FALSE)</f>
        <v>508.31873333333323</v>
      </c>
      <c r="F58" s="14">
        <f>VLOOKUP(Vlookup!F58,'CDCM Forecast Data'!$A$14:$I$271,5,FALSE)</f>
        <v>1179.9549533333334</v>
      </c>
      <c r="G58" s="14">
        <f>VLOOKUP(Vlookup!G58,'CDCM Forecast Data'!$A$14:$I$271,5,FALSE)</f>
        <v>892.5078749999999</v>
      </c>
      <c r="H58" s="14">
        <f>VLOOKUP(Vlookup!H58,'CDCM Forecast Data'!$A$14:$I$271,5,FALSE)</f>
        <v>0</v>
      </c>
      <c r="I58" s="14">
        <f>VLOOKUP(Vlookup!I58,'CDCM Forecast Data'!$A$14:$I$271,5,FALSE)</f>
        <v>468.81480000000005</v>
      </c>
      <c r="J58" s="10"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11" t="s">
        <v>90</v>
      </c>
      <c r="B63" s="14">
        <f>VLOOKUP(Vlookup!B63,'CDCM Forecast Data'!$A$14:$I$271,5,FALSE)</f>
        <v>8971.2505600000022</v>
      </c>
      <c r="C63" s="14">
        <f>VLOOKUP(Vlookup!C63,'CDCM Forecast Data'!$A$14:$I$271,5,FALSE)</f>
        <v>4334.24</v>
      </c>
      <c r="D63" s="14">
        <f>VLOOKUP(Vlookup!D63,'CDCM Forecast Data'!$A$14:$I$271,5,FALSE)</f>
        <v>0</v>
      </c>
      <c r="E63" s="14">
        <f>VLOOKUP(Vlookup!E63,'CDCM Forecast Data'!$A$14:$I$271,5,FALSE)</f>
        <v>0</v>
      </c>
      <c r="F63" s="14">
        <f>VLOOKUP(Vlookup!F63,'CDCM Forecast Data'!$A$14:$I$271,5,FALSE)</f>
        <v>0</v>
      </c>
      <c r="G63" s="10"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v>
      </c>
      <c r="C66">
        <f t="shared" ref="C66:I66" si="0">B66+1</f>
        <v>3</v>
      </c>
      <c r="D66">
        <f t="shared" si="0"/>
        <v>4</v>
      </c>
      <c r="E66">
        <f t="shared" si="0"/>
        <v>5</v>
      </c>
      <c r="F66">
        <f t="shared" si="0"/>
        <v>6</v>
      </c>
      <c r="G66">
        <f t="shared" si="0"/>
        <v>7</v>
      </c>
      <c r="H66">
        <f t="shared" si="0"/>
        <v>8</v>
      </c>
      <c r="I66">
        <f t="shared" si="0"/>
        <v>9</v>
      </c>
      <c r="J66"/>
      <c r="K66"/>
    </row>
    <row r="67" spans="1:11" ht="15">
      <c r="A67"/>
      <c r="B67" s="3" t="s">
        <v>75</v>
      </c>
      <c r="C67" s="3" t="s">
        <v>76</v>
      </c>
      <c r="D67" s="3" t="s">
        <v>77</v>
      </c>
      <c r="E67" s="3" t="s">
        <v>78</v>
      </c>
      <c r="F67" s="3" t="s">
        <v>79</v>
      </c>
      <c r="G67" s="3" t="s">
        <v>80</v>
      </c>
      <c r="H67" s="3" t="s">
        <v>81</v>
      </c>
      <c r="I67" s="3" t="s">
        <v>82</v>
      </c>
      <c r="J67"/>
      <c r="K67"/>
    </row>
    <row r="68" spans="1:11" ht="15">
      <c r="A68" s="11" t="s">
        <v>92</v>
      </c>
      <c r="B68" s="16">
        <f>VLOOKUP($A68,'Mat of App'!$B$7:$AP$37,B$66,FALSE)</f>
        <v>0.05</v>
      </c>
      <c r="C68" s="16">
        <f>VLOOKUP($A68,'Mat of App'!$B$7:$AP$37,C$66,FALSE)</f>
        <v>0</v>
      </c>
      <c r="D68" s="16">
        <f>VLOOKUP($A68,'Mat of App'!$B$7:$AP$37,D$66,FALSE)</f>
        <v>0</v>
      </c>
      <c r="E68" s="16">
        <f>VLOOKUP($A68,'Mat of App'!$B$7:$AP$37,E$66,FALSE)</f>
        <v>0</v>
      </c>
      <c r="F68" s="16">
        <f>VLOOKUP($A68,'Mat of App'!$B$7:$AP$37,F$66,FALSE)</f>
        <v>0</v>
      </c>
      <c r="G68" s="16">
        <f>VLOOKUP($A68,'Mat of App'!$B$7:$AP$37,G$66,FALSE)</f>
        <v>0</v>
      </c>
      <c r="H68" s="16">
        <f>VLOOKUP($A68,'Mat of App'!$B$7:$AP$37,H$66,FALSE)</f>
        <v>0</v>
      </c>
      <c r="I68" s="16">
        <f>VLOOKUP($A68,'Mat of App'!$B$7:$AP$37,I$66,FALSE)</f>
        <v>0</v>
      </c>
      <c r="J68" s="10" t="s">
        <v>262</v>
      </c>
      <c r="K68"/>
    </row>
    <row r="69" spans="1:11" ht="15">
      <c r="A69" s="11" t="s">
        <v>93</v>
      </c>
      <c r="B69" s="16">
        <f>VLOOKUP($A69,'Mat of App'!$B$7:$AP$37,B$66,FALSE)</f>
        <v>0.05</v>
      </c>
      <c r="C69" s="16">
        <f>VLOOKUP($A69,'Mat of App'!$B$7:$AP$37,C$66,FALSE)</f>
        <v>0</v>
      </c>
      <c r="D69" s="16">
        <f>VLOOKUP($A69,'Mat of App'!$B$7:$AP$37,D$66,FALSE)</f>
        <v>0</v>
      </c>
      <c r="E69" s="16">
        <f>VLOOKUP($A69,'Mat of App'!$B$7:$AP$37,E$66,FALSE)</f>
        <v>0</v>
      </c>
      <c r="F69" s="16">
        <f>VLOOKUP($A69,'Mat of App'!$B$7:$AP$37,F$66,FALSE)</f>
        <v>0</v>
      </c>
      <c r="G69" s="16">
        <f>VLOOKUP($A69,'Mat of App'!$B$7:$AP$37,G$66,FALSE)</f>
        <v>0</v>
      </c>
      <c r="H69" s="16">
        <f>VLOOKUP($A69,'Mat of App'!$B$7:$AP$37,H$66,FALSE)</f>
        <v>0</v>
      </c>
      <c r="I69" s="16">
        <f>VLOOKUP($A69,'Mat of App'!$B$7:$AP$37,I$66,FALSE)</f>
        <v>0</v>
      </c>
      <c r="J69" s="10" t="s">
        <v>262</v>
      </c>
      <c r="K69"/>
    </row>
    <row r="70" spans="1:11" ht="15">
      <c r="A70" s="11" t="s">
        <v>94</v>
      </c>
      <c r="B70" s="16">
        <f>VLOOKUP($A70,'Mat of App'!$B$7:$AP$37,B$66,FALSE)</f>
        <v>0</v>
      </c>
      <c r="C70" s="16">
        <f>VLOOKUP($A70,'Mat of App'!$B$7:$AP$37,C$66,FALSE)</f>
        <v>1</v>
      </c>
      <c r="D70" s="16">
        <f>VLOOKUP($A70,'Mat of App'!$B$7:$AP$37,D$66,FALSE)</f>
        <v>0</v>
      </c>
      <c r="E70" s="16">
        <f>VLOOKUP($A70,'Mat of App'!$B$7:$AP$37,E$66,FALSE)</f>
        <v>0</v>
      </c>
      <c r="F70" s="16">
        <f>VLOOKUP($A70,'Mat of App'!$B$7:$AP$37,F$66,FALSE)</f>
        <v>0</v>
      </c>
      <c r="G70" s="16">
        <f>VLOOKUP($A70,'Mat of App'!$B$7:$AP$37,G$66,FALSE)</f>
        <v>0</v>
      </c>
      <c r="H70" s="16">
        <f>VLOOKUP($A70,'Mat of App'!$B$7:$AP$37,H$66,FALSE)</f>
        <v>0</v>
      </c>
      <c r="I70" s="16">
        <f>VLOOKUP($A70,'Mat of App'!$B$7:$AP$37,I$66,FALSE)</f>
        <v>0</v>
      </c>
      <c r="J70" s="10" t="s">
        <v>262</v>
      </c>
      <c r="K70"/>
    </row>
    <row r="71" spans="1:11" ht="15">
      <c r="A71" s="11" t="s">
        <v>95</v>
      </c>
      <c r="B71" s="16">
        <f>VLOOKUP($A71,'Mat of App'!$B$7:$AP$37,B$66,FALSE)</f>
        <v>0</v>
      </c>
      <c r="C71" s="16">
        <f>VLOOKUP($A71,'Mat of App'!$B$7:$AP$37,C$66,FALSE)</f>
        <v>1</v>
      </c>
      <c r="D71" s="16">
        <f>VLOOKUP($A71,'Mat of App'!$B$7:$AP$37,D$66,FALSE)</f>
        <v>0</v>
      </c>
      <c r="E71" s="16">
        <f>VLOOKUP($A71,'Mat of App'!$B$7:$AP$37,E$66,FALSE)</f>
        <v>0</v>
      </c>
      <c r="F71" s="16">
        <f>VLOOKUP($A71,'Mat of App'!$B$7:$AP$37,F$66,FALSE)</f>
        <v>0</v>
      </c>
      <c r="G71" s="16">
        <f>VLOOKUP($A71,'Mat of App'!$B$7:$AP$37,G$66,FALSE)</f>
        <v>0</v>
      </c>
      <c r="H71" s="16">
        <f>VLOOKUP($A71,'Mat of App'!$B$7:$AP$37,H$66,FALSE)</f>
        <v>0</v>
      </c>
      <c r="I71" s="16">
        <f>VLOOKUP($A71,'Mat of App'!$B$7:$AP$37,I$66,FALSE)</f>
        <v>0</v>
      </c>
      <c r="J71" s="10" t="s">
        <v>262</v>
      </c>
      <c r="K71"/>
    </row>
    <row r="72" spans="1:11" ht="15">
      <c r="A72" s="11" t="s">
        <v>96</v>
      </c>
      <c r="B72" s="16">
        <f>VLOOKUP($A72,'Mat of App'!$B$7:$AP$37,B$66,FALSE)</f>
        <v>0</v>
      </c>
      <c r="C72" s="16">
        <f>VLOOKUP($A72,'Mat of App'!$B$7:$AP$37,C$66,FALSE)</f>
        <v>0</v>
      </c>
      <c r="D72" s="16">
        <f>VLOOKUP($A72,'Mat of App'!$B$7:$AP$37,D$66,FALSE)</f>
        <v>1</v>
      </c>
      <c r="E72" s="16">
        <f>VLOOKUP($A72,'Mat of App'!$B$7:$AP$37,E$66,FALSE)</f>
        <v>0</v>
      </c>
      <c r="F72" s="16">
        <f>VLOOKUP($A72,'Mat of App'!$B$7:$AP$37,F$66,FALSE)</f>
        <v>0</v>
      </c>
      <c r="G72" s="16">
        <f>VLOOKUP($A72,'Mat of App'!$B$7:$AP$37,G$66,FALSE)</f>
        <v>0</v>
      </c>
      <c r="H72" s="16">
        <f>VLOOKUP($A72,'Mat of App'!$B$7:$AP$37,H$66,FALSE)</f>
        <v>0</v>
      </c>
      <c r="I72" s="16">
        <f>VLOOKUP($A72,'Mat of App'!$B$7:$AP$37,I$66,FALSE)</f>
        <v>0</v>
      </c>
      <c r="J72" s="10"/>
      <c r="K72"/>
    </row>
    <row r="73" spans="1:11" ht="15">
      <c r="A73" s="11" t="s">
        <v>97</v>
      </c>
      <c r="B73" s="16">
        <f>VLOOKUP($A73,'Mat of App'!$B$7:$AP$37,B$66,FALSE)</f>
        <v>0</v>
      </c>
      <c r="C73" s="16">
        <f>VLOOKUP($A73,'Mat of App'!$B$7:$AP$37,C$66,FALSE)</f>
        <v>0</v>
      </c>
      <c r="D73" s="16">
        <f>VLOOKUP($A73,'Mat of App'!$B$7:$AP$37,D$66,FALSE)</f>
        <v>0</v>
      </c>
      <c r="E73" s="16">
        <f>VLOOKUP($A73,'Mat of App'!$B$7:$AP$37,E$66,FALSE)</f>
        <v>1</v>
      </c>
      <c r="F73" s="16">
        <f>VLOOKUP($A73,'Mat of App'!$B$7:$AP$37,F$66,FALSE)</f>
        <v>0</v>
      </c>
      <c r="G73" s="16">
        <f>VLOOKUP($A73,'Mat of App'!$B$7:$AP$37,G$66,FALSE)</f>
        <v>0</v>
      </c>
      <c r="H73" s="16">
        <f>VLOOKUP($A73,'Mat of App'!$B$7:$AP$37,H$66,FALSE)</f>
        <v>0</v>
      </c>
      <c r="I73" s="16">
        <f>VLOOKUP($A73,'Mat of App'!$B$7:$AP$37,I$66,FALSE)</f>
        <v>0</v>
      </c>
      <c r="J73" s="10"/>
      <c r="K73"/>
    </row>
    <row r="74" spans="1:11" ht="15">
      <c r="A74" s="11" t="s">
        <v>1647</v>
      </c>
      <c r="B74" s="16">
        <f>VLOOKUP($A74,'Mat of App'!$B$7:$AP$37,B$66,FALSE)</f>
        <v>0.05</v>
      </c>
      <c r="C74" s="16">
        <f>VLOOKUP($A74,'Mat of App'!$B$7:$AP$37,C$66,FALSE)</f>
        <v>0</v>
      </c>
      <c r="D74" s="16">
        <f>VLOOKUP($A74,'Mat of App'!$B$7:$AP$37,D$66,FALSE)</f>
        <v>0</v>
      </c>
      <c r="E74" s="16">
        <f>VLOOKUP($A74,'Mat of App'!$B$7:$AP$37,E$66,FALSE)</f>
        <v>0</v>
      </c>
      <c r="F74" s="16">
        <f>VLOOKUP($A74,'Mat of App'!$B$7:$AP$37,F$66,FALSE)</f>
        <v>0</v>
      </c>
      <c r="G74" s="16">
        <f>VLOOKUP($A74,'Mat of App'!$B$7:$AP$37,G$66,FALSE)</f>
        <v>0</v>
      </c>
      <c r="H74" s="16">
        <f>VLOOKUP($A74,'Mat of App'!$B$7:$AP$37,H$66,FALSE)</f>
        <v>0</v>
      </c>
      <c r="I74" s="16">
        <f>VLOOKUP($A74,'Mat of App'!$B$7:$AP$37,I$66,FALSE)</f>
        <v>0</v>
      </c>
      <c r="J74" s="10" t="s">
        <v>262</v>
      </c>
      <c r="K74"/>
    </row>
    <row r="75" spans="1:11" ht="15">
      <c r="A75" s="11" t="s">
        <v>1646</v>
      </c>
      <c r="B75" s="16">
        <f>VLOOKUP($A75,'Mat of App'!$B$7:$AP$37,B$66,FALSE)</f>
        <v>0</v>
      </c>
      <c r="C75" s="16">
        <f>VLOOKUP($A75,'Mat of App'!$B$7:$AP$37,C$66,FALSE)</f>
        <v>1</v>
      </c>
      <c r="D75" s="16">
        <f>VLOOKUP($A75,'Mat of App'!$B$7:$AP$37,D$66,FALSE)</f>
        <v>0</v>
      </c>
      <c r="E75" s="16">
        <f>VLOOKUP($A75,'Mat of App'!$B$7:$AP$37,E$66,FALSE)</f>
        <v>0</v>
      </c>
      <c r="F75" s="16">
        <f>VLOOKUP($A75,'Mat of App'!$B$7:$AP$37,F$66,FALSE)</f>
        <v>0</v>
      </c>
      <c r="G75" s="16">
        <f>VLOOKUP($A75,'Mat of App'!$B$7:$AP$37,G$66,FALSE)</f>
        <v>0</v>
      </c>
      <c r="H75" s="16">
        <f>VLOOKUP($A75,'Mat of App'!$B$7:$AP$37,H$66,FALSE)</f>
        <v>0</v>
      </c>
      <c r="I75" s="16">
        <f>VLOOKUP($A75,'Mat of App'!$B$7:$AP$37,I$66,FALSE)</f>
        <v>0</v>
      </c>
      <c r="J75" s="10" t="s">
        <v>262</v>
      </c>
      <c r="K75"/>
    </row>
    <row r="76" spans="1:11" ht="15">
      <c r="A76" s="11" t="s">
        <v>98</v>
      </c>
      <c r="B76" s="16">
        <f>VLOOKUP($A76,'Mat of App'!$B$7:$AP$37,B$66,FALSE)</f>
        <v>0</v>
      </c>
      <c r="C76" s="16">
        <f>VLOOKUP($A76,'Mat of App'!$B$7:$AP$37,C$66,FALSE)</f>
        <v>0</v>
      </c>
      <c r="D76" s="16">
        <f>VLOOKUP($A76,'Mat of App'!$B$7:$AP$37,D$66,FALSE)</f>
        <v>0</v>
      </c>
      <c r="E76" s="16">
        <f>VLOOKUP($A76,'Mat of App'!$B$7:$AP$37,E$66,FALSE)</f>
        <v>0</v>
      </c>
      <c r="F76" s="16">
        <f>VLOOKUP($A76,'Mat of App'!$B$7:$AP$37,F$66,FALSE)</f>
        <v>1</v>
      </c>
      <c r="G76" s="16">
        <f>VLOOKUP($A76,'Mat of App'!$B$7:$AP$37,G$66,FALSE)</f>
        <v>0</v>
      </c>
      <c r="H76" s="16">
        <f>VLOOKUP($A76,'Mat of App'!$B$7:$AP$37,H$66,FALSE)</f>
        <v>0</v>
      </c>
      <c r="I76" s="16">
        <f>VLOOKUP($A76,'Mat of App'!$B$7:$AP$37,I$66,FALSE)</f>
        <v>0</v>
      </c>
      <c r="J76" s="10" t="s">
        <v>262</v>
      </c>
      <c r="K76"/>
    </row>
    <row r="77" spans="1:11" ht="15">
      <c r="A77" s="11" t="s">
        <v>99</v>
      </c>
      <c r="B77" s="16">
        <f>VLOOKUP($A77,'Mat of App'!$B$7:$AP$37,B$66,FALSE)</f>
        <v>0</v>
      </c>
      <c r="C77" s="16">
        <f>VLOOKUP($A77,'Mat of App'!$B$7:$AP$37,C$66,FALSE)</f>
        <v>0</v>
      </c>
      <c r="D77" s="16">
        <f>VLOOKUP($A77,'Mat of App'!$B$7:$AP$37,D$66,FALSE)</f>
        <v>0</v>
      </c>
      <c r="E77" s="16">
        <f>VLOOKUP($A77,'Mat of App'!$B$7:$AP$37,E$66,FALSE)</f>
        <v>0</v>
      </c>
      <c r="F77" s="16">
        <f>VLOOKUP($A77,'Mat of App'!$B$7:$AP$37,F$66,FALSE)</f>
        <v>0</v>
      </c>
      <c r="G77" s="16">
        <f>VLOOKUP($A77,'Mat of App'!$B$7:$AP$37,G$66,FALSE)</f>
        <v>1</v>
      </c>
      <c r="H77" s="16">
        <f>VLOOKUP($A77,'Mat of App'!$B$7:$AP$37,H$66,FALSE)</f>
        <v>0</v>
      </c>
      <c r="I77" s="16">
        <f>VLOOKUP($A77,'Mat of App'!$B$7:$AP$37,I$66,FALSE)</f>
        <v>0</v>
      </c>
      <c r="J77" s="10" t="s">
        <v>262</v>
      </c>
      <c r="K77"/>
    </row>
    <row r="78" spans="1:11" ht="15">
      <c r="A78" s="11" t="s">
        <v>1645</v>
      </c>
      <c r="B78" s="16">
        <f>VLOOKUP($A78,'Mat of App'!$B$7:$AP$37,B$66,FALSE)</f>
        <v>0</v>
      </c>
      <c r="C78" s="16">
        <f>VLOOKUP($A78,'Mat of App'!$B$7:$AP$37,C$66,FALSE)</f>
        <v>0</v>
      </c>
      <c r="D78" s="16">
        <f>VLOOKUP($A78,'Mat of App'!$B$7:$AP$37,D$66,FALSE)</f>
        <v>0</v>
      </c>
      <c r="E78" s="16">
        <f>VLOOKUP($A78,'Mat of App'!$B$7:$AP$37,E$66,FALSE)</f>
        <v>0</v>
      </c>
      <c r="F78" s="16">
        <f>VLOOKUP($A78,'Mat of App'!$B$7:$AP$37,F$66,FALSE)</f>
        <v>0</v>
      </c>
      <c r="G78" s="16">
        <f>VLOOKUP($A78,'Mat of App'!$B$7:$AP$37,G$66,FALSE)</f>
        <v>0</v>
      </c>
      <c r="H78" s="16">
        <f>VLOOKUP($A78,'Mat of App'!$B$7:$AP$37,H$66,FALSE)</f>
        <v>1</v>
      </c>
      <c r="I78" s="16">
        <f>VLOOKUP($A78,'Mat of App'!$B$7:$AP$37,I$66,FALSE)</f>
        <v>0</v>
      </c>
      <c r="J78" s="10" t="s">
        <v>262</v>
      </c>
      <c r="K78"/>
    </row>
    <row r="79" spans="1:11" ht="15">
      <c r="A79" s="11" t="s">
        <v>100</v>
      </c>
      <c r="B79" s="16">
        <f>VLOOKUP($A79,'Mat of App'!$B$7:$AP$37,B$66,FALSE)</f>
        <v>0</v>
      </c>
      <c r="C79" s="16">
        <f>VLOOKUP($A79,'Mat of App'!$B$7:$AP$37,C$66,FALSE)</f>
        <v>0</v>
      </c>
      <c r="D79" s="16">
        <f>VLOOKUP($A79,'Mat of App'!$B$7:$AP$37,D$66,FALSE)</f>
        <v>0</v>
      </c>
      <c r="E79" s="16">
        <f>VLOOKUP($A79,'Mat of App'!$B$7:$AP$37,E$66,FALSE)</f>
        <v>0</v>
      </c>
      <c r="F79" s="16">
        <f>VLOOKUP($A79,'Mat of App'!$B$7:$AP$37,F$66,FALSE)</f>
        <v>0</v>
      </c>
      <c r="G79" s="16">
        <f>VLOOKUP($A79,'Mat of App'!$B$7:$AP$37,G$66,FALSE)</f>
        <v>0</v>
      </c>
      <c r="H79" s="16">
        <f>VLOOKUP($A79,'Mat of App'!$B$7:$AP$37,H$66,FALSE)</f>
        <v>1</v>
      </c>
      <c r="I79" s="16">
        <f>VLOOKUP($A79,'Mat of App'!$B$7:$AP$37,I$66,FALSE)</f>
        <v>0</v>
      </c>
      <c r="J79" s="10" t="s">
        <v>262</v>
      </c>
      <c r="K79"/>
    </row>
    <row r="80" spans="1:11" ht="15">
      <c r="A80" s="11" t="s">
        <v>101</v>
      </c>
      <c r="B80" s="16">
        <f>VLOOKUP($A80,'Mat of App'!$B$7:$AP$37,B$66,FALSE)</f>
        <v>0</v>
      </c>
      <c r="C80" s="16">
        <f>VLOOKUP($A80,'Mat of App'!$B$7:$AP$37,C$66,FALSE)</f>
        <v>0</v>
      </c>
      <c r="D80" s="16">
        <f>VLOOKUP($A80,'Mat of App'!$B$7:$AP$37,D$66,FALSE)</f>
        <v>0</v>
      </c>
      <c r="E80" s="16">
        <f>VLOOKUP($A80,'Mat of App'!$B$7:$AP$37,E$66,FALSE)</f>
        <v>0</v>
      </c>
      <c r="F80" s="16">
        <f>VLOOKUP($A80,'Mat of App'!$B$7:$AP$37,F$66,FALSE)</f>
        <v>0</v>
      </c>
      <c r="G80" s="16">
        <f>VLOOKUP($A80,'Mat of App'!$B$7:$AP$37,G$66,FALSE)</f>
        <v>0</v>
      </c>
      <c r="H80" s="16">
        <f>VLOOKUP($A80,'Mat of App'!$B$7:$AP$37,H$66,FALSE)</f>
        <v>1</v>
      </c>
      <c r="I80" s="16">
        <f>VLOOKUP($A80,'Mat of App'!$B$7:$AP$37,I$66,FALSE)</f>
        <v>0</v>
      </c>
      <c r="J80" s="10" t="s">
        <v>262</v>
      </c>
      <c r="K80"/>
    </row>
    <row r="81" spans="1:11" ht="15">
      <c r="A81" s="11" t="s">
        <v>102</v>
      </c>
      <c r="B81" s="16">
        <f>VLOOKUP($A81,'Mat of App'!$B$7:$AP$37,B$66,FALSE)</f>
        <v>0</v>
      </c>
      <c r="C81" s="16">
        <f>VLOOKUP($A81,'Mat of App'!$B$7:$AP$37,C$66,FALSE)</f>
        <v>0</v>
      </c>
      <c r="D81" s="16">
        <f>VLOOKUP($A81,'Mat of App'!$B$7:$AP$37,D$66,FALSE)</f>
        <v>0</v>
      </c>
      <c r="E81" s="16">
        <f>VLOOKUP($A81,'Mat of App'!$B$7:$AP$37,E$66,FALSE)</f>
        <v>0</v>
      </c>
      <c r="F81" s="16">
        <f>VLOOKUP($A81,'Mat of App'!$B$7:$AP$37,F$66,FALSE)</f>
        <v>0</v>
      </c>
      <c r="G81" s="16">
        <f>VLOOKUP($A81,'Mat of App'!$B$7:$AP$37,G$66,FALSE)</f>
        <v>0</v>
      </c>
      <c r="H81" s="16">
        <f>VLOOKUP($A81,'Mat of App'!$B$7:$AP$37,H$66,FALSE)</f>
        <v>0</v>
      </c>
      <c r="I81" s="16">
        <f>VLOOKUP($A81,'Mat of App'!$B$7:$AP$37,I$66,FALSE)</f>
        <v>0</v>
      </c>
      <c r="J81" s="10" t="s">
        <v>262</v>
      </c>
      <c r="K81"/>
    </row>
    <row r="82" spans="1:11" ht="15">
      <c r="A82" s="11" t="s">
        <v>103</v>
      </c>
      <c r="B82" s="16">
        <f>VLOOKUP($A82,'Mat of App'!$B$7:$AP$37,B$66,FALSE)</f>
        <v>0</v>
      </c>
      <c r="C82" s="16">
        <f>VLOOKUP($A82,'Mat of App'!$B$7:$AP$37,C$66,FALSE)</f>
        <v>0</v>
      </c>
      <c r="D82" s="16">
        <f>VLOOKUP($A82,'Mat of App'!$B$7:$AP$37,D$66,FALSE)</f>
        <v>0</v>
      </c>
      <c r="E82" s="16">
        <f>VLOOKUP($A82,'Mat of App'!$B$7:$AP$37,E$66,FALSE)</f>
        <v>0</v>
      </c>
      <c r="F82" s="16">
        <f>VLOOKUP($A82,'Mat of App'!$B$7:$AP$37,F$66,FALSE)</f>
        <v>0</v>
      </c>
      <c r="G82" s="16">
        <f>VLOOKUP($A82,'Mat of App'!$B$7:$AP$37,G$66,FALSE)</f>
        <v>0</v>
      </c>
      <c r="H82" s="16">
        <f>VLOOKUP($A82,'Mat of App'!$B$7:$AP$37,H$66,FALSE)</f>
        <v>0</v>
      </c>
      <c r="I82" s="16">
        <f>VLOOKUP($A82,'Mat of App'!$B$7:$AP$37,I$66,FALSE)</f>
        <v>0</v>
      </c>
      <c r="J82" s="10" t="s">
        <v>262</v>
      </c>
      <c r="K82"/>
    </row>
    <row r="83" spans="1:11" ht="15">
      <c r="A83" s="11" t="s">
        <v>104</v>
      </c>
      <c r="B83" s="16">
        <f>VLOOKUP($A83,'Mat of App'!$B$7:$AP$37,B$66,FALSE)</f>
        <v>0</v>
      </c>
      <c r="C83" s="16">
        <f>VLOOKUP($A83,'Mat of App'!$B$7:$AP$37,C$66,FALSE)</f>
        <v>0</v>
      </c>
      <c r="D83" s="16">
        <f>VLOOKUP($A83,'Mat of App'!$B$7:$AP$37,D$66,FALSE)</f>
        <v>0</v>
      </c>
      <c r="E83" s="16">
        <f>VLOOKUP($A83,'Mat of App'!$B$7:$AP$37,E$66,FALSE)</f>
        <v>0</v>
      </c>
      <c r="F83" s="16">
        <f>VLOOKUP($A83,'Mat of App'!$B$7:$AP$37,F$66,FALSE)</f>
        <v>0</v>
      </c>
      <c r="G83" s="16">
        <f>VLOOKUP($A83,'Mat of App'!$B$7:$AP$37,G$66,FALSE)</f>
        <v>0</v>
      </c>
      <c r="H83" s="16">
        <f>VLOOKUP($A83,'Mat of App'!$B$7:$AP$37,H$66,FALSE)</f>
        <v>0</v>
      </c>
      <c r="I83" s="16">
        <f>VLOOKUP($A83,'Mat of App'!$B$7:$AP$37,I$66,FALSE)</f>
        <v>0</v>
      </c>
      <c r="J83" s="10"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11"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0.48759999999999998</v>
      </c>
      <c r="J90" s="10"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v>
      </c>
      <c r="C93">
        <f>B93+1</f>
        <v>3</v>
      </c>
      <c r="D93">
        <f>C93+1</f>
        <v>4</v>
      </c>
      <c r="E93">
        <f>D93+1</f>
        <v>5</v>
      </c>
      <c r="F93">
        <f>E93+1</f>
        <v>6</v>
      </c>
      <c r="G93"/>
      <c r="H93"/>
      <c r="I93"/>
      <c r="J93"/>
      <c r="K93"/>
    </row>
    <row r="94" spans="1:11" ht="15">
      <c r="A94"/>
      <c r="B94" s="3" t="s">
        <v>85</v>
      </c>
      <c r="C94" s="3" t="s">
        <v>86</v>
      </c>
      <c r="D94" s="3" t="s">
        <v>87</v>
      </c>
      <c r="E94" s="3" t="s">
        <v>88</v>
      </c>
      <c r="F94" s="3" t="s">
        <v>89</v>
      </c>
      <c r="G94"/>
      <c r="H94"/>
      <c r="I94"/>
      <c r="J94"/>
      <c r="K94"/>
    </row>
    <row r="95" spans="1:11" ht="15">
      <c r="A95" s="11" t="s">
        <v>110</v>
      </c>
      <c r="B95" s="16">
        <f>VLOOKUP($A95,'Mat of App'!$B$7:$AP$37,B$93,FALSE)</f>
        <v>1</v>
      </c>
      <c r="C95" s="16">
        <f>VLOOKUP($A95,'Mat of App'!$B$7:$AP$37,C$93,FALSE)</f>
        <v>0</v>
      </c>
      <c r="D95" s="16">
        <f>VLOOKUP($A95,'Mat of App'!$B$7:$AP$37,D$93,FALSE)</f>
        <v>0</v>
      </c>
      <c r="E95" s="16">
        <f>VLOOKUP($A95,'Mat of App'!$B$7:$AP$37,E$93,FALSE)</f>
        <v>0</v>
      </c>
      <c r="F95" s="16">
        <f>VLOOKUP($A95,'Mat of App'!$B$7:$AP$37,F$93,FALSE)</f>
        <v>0</v>
      </c>
      <c r="G95" s="10" t="s">
        <v>262</v>
      </c>
      <c r="H95"/>
      <c r="I95"/>
      <c r="J95"/>
      <c r="K95"/>
    </row>
    <row r="96" spans="1:11" ht="15">
      <c r="A96" s="11" t="s">
        <v>111</v>
      </c>
      <c r="B96" s="16">
        <f>VLOOKUP($A96,'Mat of App'!$B$7:$AP$37,B$93,FALSE)</f>
        <v>1</v>
      </c>
      <c r="C96" s="16">
        <f>VLOOKUP($A96,'Mat of App'!$B$7:$AP$37,C$93,FALSE)</f>
        <v>0</v>
      </c>
      <c r="D96" s="16">
        <f>VLOOKUP($A96,'Mat of App'!$B$7:$AP$37,D$93,FALSE)</f>
        <v>0</v>
      </c>
      <c r="E96" s="16">
        <f>VLOOKUP($A96,'Mat of App'!$B$7:$AP$37,E$93,FALSE)</f>
        <v>0</v>
      </c>
      <c r="F96" s="16">
        <f>VLOOKUP($A96,'Mat of App'!$B$7:$AP$37,F$93,FALSE)</f>
        <v>0</v>
      </c>
      <c r="G96" s="10" t="s">
        <v>262</v>
      </c>
      <c r="H96"/>
      <c r="I96"/>
      <c r="J96"/>
      <c r="K96"/>
    </row>
    <row r="97" spans="1:11" customFormat="1" ht="15">
      <c r="A97" s="11" t="s">
        <v>112</v>
      </c>
      <c r="B97" s="16">
        <f>VLOOKUP($A97,'Mat of App'!$B$7:$AP$37,B$93,FALSE)</f>
        <v>0</v>
      </c>
      <c r="C97" s="16">
        <f>VLOOKUP($A97,'Mat of App'!$B$7:$AP$37,C$93,FALSE)</f>
        <v>1</v>
      </c>
      <c r="D97" s="16">
        <f>VLOOKUP($A97,'Mat of App'!$B$7:$AP$37,D$93,FALSE)</f>
        <v>0</v>
      </c>
      <c r="E97" s="16">
        <f>VLOOKUP($A97,'Mat of App'!$B$7:$AP$37,E$93,FALSE)</f>
        <v>0</v>
      </c>
      <c r="F97" s="16">
        <f>VLOOKUP($A97,'Mat of App'!$B$7:$AP$37,F$93,FALSE)</f>
        <v>0</v>
      </c>
      <c r="G97" s="10"/>
    </row>
    <row r="98" spans="1:11" customFormat="1" ht="15">
      <c r="A98" s="11" t="s">
        <v>113</v>
      </c>
      <c r="B98" s="16">
        <f>VLOOKUP($A98,'Mat of App'!$B$7:$AP$37,B$93,FALSE)</f>
        <v>0</v>
      </c>
      <c r="C98" s="16">
        <f>VLOOKUP($A98,'Mat of App'!$B$7:$AP$37,C$93,FALSE)</f>
        <v>1</v>
      </c>
      <c r="D98" s="16">
        <f>VLOOKUP($A98,'Mat of App'!$B$7:$AP$37,D$93,FALSE)</f>
        <v>0</v>
      </c>
      <c r="E98" s="16">
        <f>VLOOKUP($A98,'Mat of App'!$B$7:$AP$37,E$93,FALSE)</f>
        <v>0</v>
      </c>
      <c r="F98" s="16">
        <f>VLOOKUP($A98,'Mat of App'!$B$7:$AP$37,F$93,FALSE)</f>
        <v>0</v>
      </c>
      <c r="G98" s="10"/>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11" t="s">
        <v>116</v>
      </c>
      <c r="B104" s="4">
        <f>VLOOKUP(Vlookup!B69,'CDCM Forecast Data'!$A$14:$I$271,5,FALSE)</f>
        <v>1.0097</v>
      </c>
      <c r="C104" s="4">
        <f>VLOOKUP(Vlookup!C69,'CDCM Forecast Data'!$A$14:$I$271,5,FALSE)</f>
        <v>1.0142</v>
      </c>
      <c r="D104" s="4">
        <f>VLOOKUP(Vlookup!D69,'CDCM Forecast Data'!$A$14:$I$271,5,FALSE)</f>
        <v>1.0269999999999999</v>
      </c>
      <c r="E104" s="4">
        <f>VLOOKUP(Vlookup!E69,'CDCM Forecast Data'!$A$14:$I$271,5,FALSE)</f>
        <v>1.0348999999999999</v>
      </c>
      <c r="F104" s="4">
        <f>VLOOKUP(Vlookup!F69,'CDCM Forecast Data'!$A$14:$I$271,5,FALSE)</f>
        <v>1.0439000000000001</v>
      </c>
      <c r="G104" s="4">
        <f>VLOOKUP(Vlookup!G69,'CDCM Forecast Data'!$A$14:$I$271,5,FALSE)</f>
        <v>1.0640000000000001</v>
      </c>
      <c r="H104" s="4">
        <f>VLOOKUP(Vlookup!H69,'CDCM Forecast Data'!$A$14:$I$271,5,FALSE)</f>
        <v>1.085</v>
      </c>
      <c r="I104" s="10"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11" t="s">
        <v>124</v>
      </c>
      <c r="B110" s="8"/>
      <c r="C110" s="16">
        <f>VLOOKUP(Vlookup!C75,'CDCM Forecast Data'!$A$14:$I$271,5,FALSE)</f>
        <v>0.31963777193131604</v>
      </c>
      <c r="D110" s="16">
        <f>VLOOKUP(Vlookup!D75,'CDCM Forecast Data'!$A$14:$I$271,5,FALSE)</f>
        <v>0.63846715658715969</v>
      </c>
      <c r="E110" s="16">
        <f>VLOOKUP(Vlookup!E75,'CDCM Forecast Data'!$A$14:$I$271,5,FALSE)</f>
        <v>0.45349156811055275</v>
      </c>
      <c r="F110" s="16">
        <f>VLOOKUP(Vlookup!F75,'CDCM Forecast Data'!$A$14:$I$271,5,FALSE)</f>
        <v>0.34444405043316395</v>
      </c>
      <c r="G110" s="10"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11" t="s">
        <v>92</v>
      </c>
      <c r="B116" s="4">
        <f>VLOOKUP(Vlookup!B81,'CDCM Forecast Data'!$A$14:$I$271,5,FALSE)</f>
        <v>0.85759516031476501</v>
      </c>
      <c r="C116" s="4">
        <f>VLOOKUP(Vlookup!C81,'CDCM Forecast Data'!$A$14:$I$271,5,FALSE)</f>
        <v>0.44003574379694171</v>
      </c>
      <c r="D116" s="10" t="s">
        <v>262</v>
      </c>
      <c r="E116"/>
      <c r="F116"/>
      <c r="G116"/>
      <c r="H116"/>
      <c r="I116"/>
      <c r="J116"/>
      <c r="K116"/>
    </row>
    <row r="117" spans="1:11" ht="15">
      <c r="A117" s="11" t="s">
        <v>93</v>
      </c>
      <c r="B117" s="4">
        <f>VLOOKUP(Vlookup!B82,'CDCM Forecast Data'!$A$14:$I$271,5,FALSE)</f>
        <v>0.28862941872680464</v>
      </c>
      <c r="C117" s="4">
        <f>VLOOKUP(Vlookup!C82,'CDCM Forecast Data'!$A$14:$I$271,5,FALSE)</f>
        <v>0.24997898838710139</v>
      </c>
      <c r="D117" s="10" t="s">
        <v>262</v>
      </c>
      <c r="E117"/>
      <c r="F117"/>
      <c r="G117"/>
      <c r="H117"/>
      <c r="I117"/>
      <c r="J117"/>
      <c r="K117"/>
    </row>
    <row r="118" spans="1:11" ht="15">
      <c r="A118" s="11" t="s">
        <v>129</v>
      </c>
      <c r="B118" s="8"/>
      <c r="C118" s="4">
        <f>VLOOKUP(Vlookup!C83,'CDCM Forecast Data'!$A$14:$I$271,5,FALSE)</f>
        <v>0.25721840525583911</v>
      </c>
      <c r="D118" s="10" t="s">
        <v>262</v>
      </c>
      <c r="E118"/>
      <c r="F118"/>
      <c r="G118"/>
      <c r="H118"/>
      <c r="I118"/>
      <c r="J118"/>
      <c r="K118"/>
    </row>
    <row r="119" spans="1:11" ht="15">
      <c r="A119" s="11" t="s">
        <v>94</v>
      </c>
      <c r="B119" s="4">
        <f>VLOOKUP(Vlookup!B84,'CDCM Forecast Data'!$A$14:$I$271,5,FALSE)</f>
        <v>0.63063099162887759</v>
      </c>
      <c r="C119" s="4">
        <f>VLOOKUP(Vlookup!C84,'CDCM Forecast Data'!$A$14:$I$271,5,FALSE)</f>
        <v>0.41141924234461547</v>
      </c>
      <c r="D119" s="10" t="s">
        <v>262</v>
      </c>
      <c r="E119"/>
      <c r="F119"/>
      <c r="G119"/>
      <c r="H119"/>
      <c r="I119"/>
      <c r="J119"/>
      <c r="K119"/>
    </row>
    <row r="120" spans="1:11" ht="15">
      <c r="A120" s="11" t="s">
        <v>95</v>
      </c>
      <c r="B120" s="4">
        <f>VLOOKUP(Vlookup!B85,'CDCM Forecast Data'!$A$14:$I$271,5,FALSE)</f>
        <v>0.72549700914004911</v>
      </c>
      <c r="C120" s="4">
        <f>VLOOKUP(Vlookup!C85,'CDCM Forecast Data'!$A$14:$I$271,5,FALSE)</f>
        <v>0.55069014186184517</v>
      </c>
      <c r="D120" s="10" t="s">
        <v>262</v>
      </c>
      <c r="E120"/>
      <c r="F120"/>
      <c r="G120"/>
      <c r="H120"/>
      <c r="I120"/>
      <c r="J120"/>
      <c r="K120"/>
    </row>
    <row r="121" spans="1:11" ht="15">
      <c r="A121" s="11" t="s">
        <v>130</v>
      </c>
      <c r="B121" s="8"/>
      <c r="C121" s="4">
        <f>VLOOKUP(Vlookup!C86,'CDCM Forecast Data'!$A$14:$I$271,5,FALSE)</f>
        <v>0.28056285937387915</v>
      </c>
      <c r="D121" s="10" t="s">
        <v>262</v>
      </c>
      <c r="E121"/>
      <c r="F121"/>
      <c r="G121"/>
      <c r="H121"/>
      <c r="I121"/>
      <c r="J121"/>
      <c r="K121"/>
    </row>
    <row r="122" spans="1:11" ht="15">
      <c r="A122" s="11" t="s">
        <v>96</v>
      </c>
      <c r="B122" s="4">
        <f>VLOOKUP(Vlookup!B87,'CDCM Forecast Data'!$A$14:$I$271,5,FALSE)</f>
        <v>0.77193739705983777</v>
      </c>
      <c r="C122" s="4">
        <f>VLOOKUP(Vlookup!C87,'CDCM Forecast Data'!$A$14:$I$271,5,FALSE)</f>
        <v>0.54202643928388716</v>
      </c>
      <c r="D122" s="10" t="s">
        <v>262</v>
      </c>
      <c r="E122"/>
      <c r="F122"/>
      <c r="G122"/>
      <c r="H122"/>
      <c r="I122"/>
      <c r="J122"/>
      <c r="K122"/>
    </row>
    <row r="123" spans="1:11" ht="15">
      <c r="A123" s="11" t="s">
        <v>97</v>
      </c>
      <c r="B123" s="4">
        <f>VLOOKUP(Vlookup!B88,'CDCM Forecast Data'!$A$14:$I$271,5,FALSE)</f>
        <v>0.77193739705983777</v>
      </c>
      <c r="C123" s="4">
        <f>VLOOKUP(Vlookup!C88,'CDCM Forecast Data'!$A$14:$I$271,5,FALSE)</f>
        <v>0.54202643928388716</v>
      </c>
      <c r="D123" s="10" t="s">
        <v>262</v>
      </c>
      <c r="E123"/>
      <c r="F123"/>
      <c r="G123"/>
      <c r="H123"/>
      <c r="I123"/>
      <c r="J123"/>
      <c r="K123"/>
    </row>
    <row r="124" spans="1:11" ht="15">
      <c r="A124" s="11" t="s">
        <v>110</v>
      </c>
      <c r="B124" s="4">
        <f>VLOOKUP(Vlookup!B89,'CDCM Forecast Data'!$A$14:$I$271,5,FALSE)</f>
        <v>0.5147350712369958</v>
      </c>
      <c r="C124" s="4">
        <f>VLOOKUP(Vlookup!C89,'CDCM Forecast Data'!$A$14:$I$271,5,FALSE)</f>
        <v>0.37297691878220807</v>
      </c>
      <c r="D124" s="10" t="s">
        <v>262</v>
      </c>
      <c r="E124"/>
      <c r="F124"/>
      <c r="G124"/>
      <c r="H124"/>
      <c r="I124"/>
      <c r="J124"/>
      <c r="K124"/>
    </row>
    <row r="125" spans="1:11" ht="15">
      <c r="A125" s="11" t="s">
        <v>1647</v>
      </c>
      <c r="B125" s="4">
        <f>VLOOKUP(Vlookup!B90,'CDCM Forecast Data'!$A$14:$I$271,5,FALSE)</f>
        <v>0.82538148778829346</v>
      </c>
      <c r="C125" s="4">
        <f>VLOOKUP(Vlookup!C90,'CDCM Forecast Data'!$A$14:$I$271,5,FALSE)</f>
        <v>0.42910585224417291</v>
      </c>
      <c r="D125" s="10" t="s">
        <v>262</v>
      </c>
      <c r="E125"/>
      <c r="F125"/>
      <c r="G125"/>
      <c r="H125"/>
      <c r="I125"/>
      <c r="J125"/>
      <c r="K125"/>
    </row>
    <row r="126" spans="1:11" ht="15">
      <c r="A126" s="11" t="s">
        <v>1646</v>
      </c>
      <c r="B126" s="4">
        <f>VLOOKUP(Vlookup!B91,'CDCM Forecast Data'!$A$14:$I$271,5,FALSE)</f>
        <v>0.64712654999949026</v>
      </c>
      <c r="C126" s="4">
        <f>VLOOKUP(Vlookup!C91,'CDCM Forecast Data'!$A$14:$I$271,5,FALSE)</f>
        <v>0.43505682103944454</v>
      </c>
      <c r="D126" s="10" t="s">
        <v>262</v>
      </c>
      <c r="E126"/>
      <c r="F126"/>
      <c r="G126"/>
      <c r="H126"/>
      <c r="I126"/>
      <c r="J126"/>
      <c r="K126"/>
    </row>
    <row r="127" spans="1:11" ht="15">
      <c r="A127" s="11" t="s">
        <v>98</v>
      </c>
      <c r="B127" s="4">
        <f>VLOOKUP(Vlookup!B92,'CDCM Forecast Data'!$A$14:$I$271,5,FALSE)</f>
        <v>0.76513583991019607</v>
      </c>
      <c r="C127" s="4">
        <f>VLOOKUP(Vlookup!C92,'CDCM Forecast Data'!$A$14:$I$271,5,FALSE)</f>
        <v>0.58780986597120821</v>
      </c>
      <c r="D127" s="10" t="s">
        <v>262</v>
      </c>
      <c r="E127"/>
      <c r="F127"/>
      <c r="G127"/>
      <c r="H127"/>
      <c r="I127"/>
      <c r="J127"/>
      <c r="K127"/>
    </row>
    <row r="128" spans="1:11" ht="15">
      <c r="A128" s="11" t="s">
        <v>99</v>
      </c>
      <c r="B128" s="4">
        <f>VLOOKUP(Vlookup!B93,'CDCM Forecast Data'!$A$14:$I$271,5,FALSE)</f>
        <v>0.76513583991019607</v>
      </c>
      <c r="C128" s="4">
        <f>VLOOKUP(Vlookup!C93,'CDCM Forecast Data'!$A$14:$I$271,5,FALSE)</f>
        <v>0.58780986597120821</v>
      </c>
      <c r="D128" s="10"/>
      <c r="E128"/>
      <c r="F128"/>
      <c r="G128"/>
      <c r="H128"/>
      <c r="I128"/>
      <c r="J128"/>
      <c r="K128"/>
    </row>
    <row r="129" spans="1:11" ht="15">
      <c r="A129" s="11" t="s">
        <v>111</v>
      </c>
      <c r="B129" s="4">
        <f>VLOOKUP(Vlookup!B94,'CDCM Forecast Data'!$A$14:$I$271,5,FALSE)</f>
        <v>0.85096169090232854</v>
      </c>
      <c r="C129" s="4">
        <f>VLOOKUP(Vlookup!C94,'CDCM Forecast Data'!$A$14:$I$271,5,FALSE)</f>
        <v>0.73762935772845595</v>
      </c>
      <c r="D129" s="10"/>
      <c r="E129"/>
      <c r="F129"/>
      <c r="G129"/>
      <c r="H129"/>
      <c r="I129"/>
      <c r="J129"/>
      <c r="K129"/>
    </row>
    <row r="130" spans="1:11" ht="15">
      <c r="A130" s="11" t="s">
        <v>131</v>
      </c>
      <c r="B130" s="4">
        <f>VLOOKUP(Vlookup!B95,'CDCM Forecast Data'!$A$14:$I$271,5,FALSE)</f>
        <v>1</v>
      </c>
      <c r="C130" s="4">
        <f>VLOOKUP(Vlookup!C95,'CDCM Forecast Data'!$A$14:$I$271,5,FALSE)</f>
        <v>1</v>
      </c>
      <c r="D130" s="10" t="s">
        <v>262</v>
      </c>
      <c r="E130"/>
      <c r="F130"/>
      <c r="G130"/>
      <c r="H130"/>
      <c r="I130"/>
      <c r="J130"/>
      <c r="K130"/>
    </row>
    <row r="131" spans="1:11" ht="15">
      <c r="A131" s="11" t="s">
        <v>132</v>
      </c>
      <c r="B131" s="4">
        <f>VLOOKUP(Vlookup!B96,'CDCM Forecast Data'!$A$14:$I$271,5,FALSE)</f>
        <v>0.99388353345735381</v>
      </c>
      <c r="C131" s="4">
        <f>VLOOKUP(Vlookup!C96,'CDCM Forecast Data'!$A$14:$I$271,5,FALSE)</f>
        <v>0.47309957267296898</v>
      </c>
      <c r="D131" s="10"/>
      <c r="E131"/>
      <c r="F131"/>
      <c r="G131"/>
      <c r="H131"/>
      <c r="I131"/>
      <c r="J131"/>
      <c r="K131"/>
    </row>
    <row r="132" spans="1:11" ht="15">
      <c r="A132" s="11" t="s">
        <v>133</v>
      </c>
      <c r="B132" s="4">
        <f>VLOOKUP(Vlookup!B97,'CDCM Forecast Data'!$A$14:$I$271,5,FALSE)</f>
        <v>0.75050100200400804</v>
      </c>
      <c r="C132" s="4">
        <f>VLOOKUP(Vlookup!C97,'CDCM Forecast Data'!$A$14:$I$271,5,FALSE)</f>
        <v>0.24527046603861322</v>
      </c>
      <c r="D132" s="10"/>
      <c r="E132"/>
      <c r="F132"/>
      <c r="G132"/>
      <c r="H132"/>
      <c r="I132"/>
      <c r="J132"/>
      <c r="K132"/>
    </row>
    <row r="133" spans="1:11" ht="15">
      <c r="A133" s="11" t="s">
        <v>134</v>
      </c>
      <c r="B133" s="4">
        <f>VLOOKUP(Vlookup!B98,'CDCM Forecast Data'!$A$14:$I$271,5,FALSE)</f>
        <v>0</v>
      </c>
      <c r="C133" s="4">
        <f>VLOOKUP(Vlookup!C98,'CDCM Forecast Data'!$A$14:$I$271,5,FALSE)</f>
        <v>0.51417471713179308</v>
      </c>
      <c r="D133" s="10"/>
      <c r="E133"/>
      <c r="F133"/>
      <c r="G133"/>
      <c r="H133"/>
      <c r="I133"/>
      <c r="J133"/>
      <c r="K133"/>
    </row>
    <row r="134" spans="1:11" ht="15">
      <c r="A134" s="11" t="s">
        <v>135</v>
      </c>
      <c r="B134" s="4">
        <f>VLOOKUP(Vlookup!B99,'CDCM Forecast Data'!$A$14:$I$271,5,FALSE)</f>
        <v>0.97898179724204526</v>
      </c>
      <c r="C134" s="4">
        <f>VLOOKUP(Vlookup!C99,'CDCM Forecast Data'!$A$14:$I$271,5,FALSE)</f>
        <v>0.47429529311509694</v>
      </c>
      <c r="D134" s="10"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4</v>
      </c>
      <c r="C137">
        <v>5</v>
      </c>
      <c r="D137">
        <v>6</v>
      </c>
      <c r="E137">
        <v>7</v>
      </c>
      <c r="F137">
        <v>8</v>
      </c>
      <c r="G137">
        <v>9</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7" t="s">
        <v>146</v>
      </c>
      <c r="B142" s="18">
        <f>VLOOKUP(Vlookup!$B107,'CDCM Volume Forecasts'!$A$27:$AG$123,B$137,FALSE)</f>
        <v>0</v>
      </c>
      <c r="C142" s="18">
        <f>VLOOKUP(Vlookup!$B107,'CDCM Volume Forecasts'!$A$27:$AG$123,C$137,FALSE)</f>
        <v>0</v>
      </c>
      <c r="D142" s="18">
        <f>VLOOKUP(Vlookup!$B107,'CDCM Volume Forecasts'!$A$27:$AG$123,D$137,FALSE)</f>
        <v>0</v>
      </c>
      <c r="E142" s="18">
        <f>VLOOKUP(Vlookup!$B107,'CDCM Volume Forecasts'!$A$27:$AG$123,E$137,FALSE)</f>
        <v>0</v>
      </c>
      <c r="F142" s="18">
        <f>VLOOKUP(Vlookup!$B107,'CDCM Volume Forecasts'!$A$27:$AG$123,F$137,FALSE)</f>
        <v>0</v>
      </c>
      <c r="G142" s="18">
        <f>VLOOKUP(Vlookup!$B107,'CDCM Volume Forecasts'!$A$27:$AG$123,G$137,FALSE)</f>
        <v>0</v>
      </c>
      <c r="H142" s="10"/>
      <c r="I142"/>
      <c r="J142"/>
      <c r="K142"/>
    </row>
    <row r="143" spans="1:11" ht="15">
      <c r="A143" s="11" t="s">
        <v>92</v>
      </c>
      <c r="B143" s="4">
        <f>VLOOKUP(Vlookup!$B108,'CDCM Volume Forecasts'!$A$27:$AG$123,B$137,FALSE)</f>
        <v>3242264.655750392</v>
      </c>
      <c r="C143" s="8">
        <f>VLOOKUP(Vlookup!$B108,'CDCM Volume Forecasts'!$A$27:$AG$123,C$137,FALSE)</f>
        <v>0</v>
      </c>
      <c r="D143" s="8">
        <f>VLOOKUP(Vlookup!$B108,'CDCM Volume Forecasts'!$A$27:$AG$123,D$137,FALSE)</f>
        <v>0</v>
      </c>
      <c r="E143" s="14">
        <f>VLOOKUP(Vlookup!$B108,'CDCM Volume Forecasts'!$A$27:$AG$123,E$137,FALSE)</f>
        <v>964740</v>
      </c>
      <c r="F143" s="8">
        <f>VLOOKUP(Vlookup!$B108,'CDCM Volume Forecasts'!$A$27:$AG$123,F$137,FALSE)</f>
        <v>0</v>
      </c>
      <c r="G143" s="8">
        <f>VLOOKUP(Vlookup!$B108,'CDCM Volume Forecasts'!$A$27:$AG$123,G$137,FALSE)</f>
        <v>0</v>
      </c>
      <c r="H143" s="10"/>
      <c r="I143"/>
      <c r="J143"/>
      <c r="K143"/>
    </row>
    <row r="144" spans="1:11" ht="15">
      <c r="A144" s="11" t="s">
        <v>147</v>
      </c>
      <c r="B144" s="4">
        <f>VLOOKUP(Vlookup!$B109,'CDCM Volume Forecasts'!$A$27:$AG$123,B$137,FALSE)</f>
        <v>2870.3349849031706</v>
      </c>
      <c r="C144" s="8">
        <f>VLOOKUP(Vlookup!$B109,'CDCM Volume Forecasts'!$A$27:$AG$123,C$137,FALSE)</f>
        <v>0</v>
      </c>
      <c r="D144" s="8">
        <f>VLOOKUP(Vlookup!$B109,'CDCM Volume Forecasts'!$A$27:$AG$123,D$137,FALSE)</f>
        <v>0</v>
      </c>
      <c r="E144" s="14">
        <f>VLOOKUP(Vlookup!$B109,'CDCM Volume Forecasts'!$A$27:$AG$123,E$137,FALSE)</f>
        <v>893</v>
      </c>
      <c r="F144" s="8">
        <f>VLOOKUP(Vlookup!$B109,'CDCM Volume Forecasts'!$A$27:$AG$123,F$137,FALSE)</f>
        <v>0</v>
      </c>
      <c r="G144" s="8">
        <f>VLOOKUP(Vlookup!$B109,'CDCM Volume Forecasts'!$A$27:$AG$123,G$137,FALSE)</f>
        <v>0</v>
      </c>
      <c r="H144" s="10"/>
      <c r="I144"/>
      <c r="J144"/>
      <c r="K144"/>
    </row>
    <row r="145" spans="1:11" ht="15">
      <c r="A145" s="11" t="s">
        <v>148</v>
      </c>
      <c r="B145" s="4">
        <f>VLOOKUP(Vlookup!$B110,'CDCM Volume Forecasts'!$A$27:$AG$123,B$137,FALSE)</f>
        <v>11376.82714716523</v>
      </c>
      <c r="C145" s="8">
        <f>VLOOKUP(Vlookup!$B110,'CDCM Volume Forecasts'!$A$27:$AG$123,C$137,FALSE)</f>
        <v>0</v>
      </c>
      <c r="D145" s="8">
        <f>VLOOKUP(Vlookup!$B110,'CDCM Volume Forecasts'!$A$27:$AG$123,D$137,FALSE)</f>
        <v>0</v>
      </c>
      <c r="E145" s="14">
        <f>VLOOKUP(Vlookup!$B110,'CDCM Volume Forecasts'!$A$27:$AG$123,E$137,FALSE)</f>
        <v>3843</v>
      </c>
      <c r="F145" s="8">
        <f>VLOOKUP(Vlookup!$B110,'CDCM Volume Forecasts'!$A$27:$AG$123,F$137,FALSE)</f>
        <v>0</v>
      </c>
      <c r="G145" s="8">
        <f>VLOOKUP(Vlookup!$B110,'CDCM Volume Forecasts'!$A$27:$AG$123,G$137,FALSE)</f>
        <v>0</v>
      </c>
      <c r="H145" s="10"/>
      <c r="I145"/>
      <c r="J145"/>
      <c r="K145"/>
    </row>
    <row r="146" spans="1:11" ht="15">
      <c r="A146" s="17" t="s">
        <v>149</v>
      </c>
      <c r="B146" s="18">
        <f>VLOOKUP(Vlookup!$B111,'CDCM Volume Forecasts'!$A$27:$AG$123,B$137,FALSE)</f>
        <v>0</v>
      </c>
      <c r="C146" s="18">
        <f>VLOOKUP(Vlookup!$B111,'CDCM Volume Forecasts'!$A$27:$AG$123,C$137,FALSE)</f>
        <v>0</v>
      </c>
      <c r="D146" s="18">
        <f>VLOOKUP(Vlookup!$B111,'CDCM Volume Forecasts'!$A$27:$AG$123,D$137,FALSE)</f>
        <v>0</v>
      </c>
      <c r="E146" s="18">
        <f>VLOOKUP(Vlookup!$B111,'CDCM Volume Forecasts'!$A$27:$AG$123,E$137,FALSE)</f>
        <v>0</v>
      </c>
      <c r="F146" s="18">
        <f>VLOOKUP(Vlookup!$B111,'CDCM Volume Forecasts'!$A$27:$AG$123,F$137,FALSE)</f>
        <v>0</v>
      </c>
      <c r="G146" s="18">
        <f>VLOOKUP(Vlookup!$B111,'CDCM Volume Forecasts'!$A$27:$AG$123,G$137,FALSE)</f>
        <v>0</v>
      </c>
      <c r="H146" s="10"/>
      <c r="I146"/>
      <c r="J146"/>
      <c r="K146"/>
    </row>
    <row r="147" spans="1:11" ht="15">
      <c r="A147" s="11" t="s">
        <v>93</v>
      </c>
      <c r="B147" s="4">
        <f>VLOOKUP(Vlookup!$B112,'CDCM Volume Forecasts'!$A$27:$AG$123,B$137,FALSE)</f>
        <v>174847.88943573163</v>
      </c>
      <c r="C147" s="4">
        <f>VLOOKUP(Vlookup!$B112,'CDCM Volume Forecasts'!$A$27:$AG$123,C$137,FALSE)</f>
        <v>180701.55632797108</v>
      </c>
      <c r="D147" s="8">
        <f>VLOOKUP(Vlookup!$B112,'CDCM Volume Forecasts'!$A$27:$AG$123,D$137,FALSE)</f>
        <v>0</v>
      </c>
      <c r="E147" s="14">
        <f>VLOOKUP(Vlookup!$B112,'CDCM Volume Forecasts'!$A$27:$AG$123,E$137,FALSE)</f>
        <v>58083</v>
      </c>
      <c r="F147" s="8">
        <f>VLOOKUP(Vlookup!$B112,'CDCM Volume Forecasts'!$A$27:$AG$123,F$137,FALSE)</f>
        <v>0</v>
      </c>
      <c r="G147" s="8">
        <f>VLOOKUP(Vlookup!$B112,'CDCM Volume Forecasts'!$A$27:$AG$123,G$137,FALSE)</f>
        <v>0</v>
      </c>
      <c r="H147" s="10"/>
      <c r="I147"/>
      <c r="J147"/>
      <c r="K147"/>
    </row>
    <row r="148" spans="1:11" ht="15">
      <c r="A148" s="11" t="s">
        <v>150</v>
      </c>
      <c r="B148" s="4">
        <f>VLOOKUP(Vlookup!$B113,'CDCM Volume Forecasts'!$A$27:$AG$123,B$137,FALSE)</f>
        <v>262.98719224025433</v>
      </c>
      <c r="C148" s="4">
        <f>VLOOKUP(Vlookup!$B113,'CDCM Volume Forecasts'!$A$27:$AG$123,C$137,FALSE)</f>
        <v>6585.6695296550351</v>
      </c>
      <c r="D148" s="8">
        <f>VLOOKUP(Vlookup!$B113,'CDCM Volume Forecasts'!$A$27:$AG$123,D$137,FALSE)</f>
        <v>0</v>
      </c>
      <c r="E148" s="14">
        <f>VLOOKUP(Vlookup!$B113,'CDCM Volume Forecasts'!$A$27:$AG$123,E$137,FALSE)</f>
        <v>21</v>
      </c>
      <c r="F148" s="8">
        <f>VLOOKUP(Vlookup!$B113,'CDCM Volume Forecasts'!$A$27:$AG$123,F$137,FALSE)</f>
        <v>0</v>
      </c>
      <c r="G148" s="8">
        <f>VLOOKUP(Vlookup!$B113,'CDCM Volume Forecasts'!$A$27:$AG$123,G$137,FALSE)</f>
        <v>0</v>
      </c>
      <c r="H148" s="10"/>
      <c r="I148"/>
      <c r="J148"/>
      <c r="K148"/>
    </row>
    <row r="149" spans="1:11" ht="15">
      <c r="A149" s="11" t="s">
        <v>151</v>
      </c>
      <c r="B149" s="4">
        <f>VLOOKUP(Vlookup!$B114,'CDCM Volume Forecasts'!$A$27:$AG$123,B$137,FALSE)</f>
        <v>256.3006220521292</v>
      </c>
      <c r="C149" s="4">
        <f>VLOOKUP(Vlookup!$B114,'CDCM Volume Forecasts'!$A$27:$AG$123,C$137,FALSE)</f>
        <v>349.8743055243375</v>
      </c>
      <c r="D149" s="8">
        <f>VLOOKUP(Vlookup!$B114,'CDCM Volume Forecasts'!$A$27:$AG$123,D$137,FALSE)</f>
        <v>0</v>
      </c>
      <c r="E149" s="14">
        <f>VLOOKUP(Vlookup!$B114,'CDCM Volume Forecasts'!$A$27:$AG$123,E$137,FALSE)</f>
        <v>80</v>
      </c>
      <c r="F149" s="8">
        <f>VLOOKUP(Vlookup!$B114,'CDCM Volume Forecasts'!$A$27:$AG$123,F$137,FALSE)</f>
        <v>0</v>
      </c>
      <c r="G149" s="8">
        <f>VLOOKUP(Vlookup!$B114,'CDCM Volume Forecasts'!$A$27:$AG$123,G$137,FALSE)</f>
        <v>0</v>
      </c>
      <c r="H149" s="10"/>
      <c r="I149"/>
      <c r="J149"/>
      <c r="K149"/>
    </row>
    <row r="150" spans="1:11" ht="15">
      <c r="A150" s="17" t="s">
        <v>152</v>
      </c>
      <c r="B150" s="18">
        <f>VLOOKUP(Vlookup!$B115,'CDCM Volume Forecasts'!$A$27:$AG$123,B$137,FALSE)</f>
        <v>0</v>
      </c>
      <c r="C150" s="18">
        <f>VLOOKUP(Vlookup!$B115,'CDCM Volume Forecasts'!$A$27:$AG$123,C$137,FALSE)</f>
        <v>0</v>
      </c>
      <c r="D150" s="18">
        <f>VLOOKUP(Vlookup!$B115,'CDCM Volume Forecasts'!$A$27:$AG$123,D$137,FALSE)</f>
        <v>0</v>
      </c>
      <c r="E150" s="18">
        <f>VLOOKUP(Vlookup!$B115,'CDCM Volume Forecasts'!$A$27:$AG$123,E$137,FALSE)</f>
        <v>0</v>
      </c>
      <c r="F150" s="18">
        <f>VLOOKUP(Vlookup!$B115,'CDCM Volume Forecasts'!$A$27:$AG$123,F$137,FALSE)</f>
        <v>0</v>
      </c>
      <c r="G150" s="18">
        <f>VLOOKUP(Vlookup!$B115,'CDCM Volume Forecasts'!$A$27:$AG$123,G$137,FALSE)</f>
        <v>0</v>
      </c>
      <c r="H150" s="10"/>
      <c r="I150"/>
      <c r="J150"/>
      <c r="K150"/>
    </row>
    <row r="151" spans="1:11" ht="15">
      <c r="A151" s="11" t="s">
        <v>129</v>
      </c>
      <c r="B151" s="4">
        <f>VLOOKUP(Vlookup!$B116,'CDCM Volume Forecasts'!$A$27:$AG$123,B$137,FALSE)</f>
        <v>3613.1440975729997</v>
      </c>
      <c r="C151" s="8">
        <f>VLOOKUP(Vlookup!$B116,'CDCM Volume Forecasts'!$A$27:$AG$123,C$137,FALSE)</f>
        <v>0</v>
      </c>
      <c r="D151" s="8">
        <f>VLOOKUP(Vlookup!$B116,'CDCM Volume Forecasts'!$A$27:$AG$123,D$137,FALSE)</f>
        <v>0</v>
      </c>
      <c r="E151" s="14">
        <f>VLOOKUP(Vlookup!$B116,'CDCM Volume Forecasts'!$A$27:$AG$123,E$137,FALSE)</f>
        <v>0</v>
      </c>
      <c r="F151" s="8">
        <f>VLOOKUP(Vlookup!$B116,'CDCM Volume Forecasts'!$A$27:$AG$123,F$137,FALSE)</f>
        <v>0</v>
      </c>
      <c r="G151" s="8">
        <f>VLOOKUP(Vlookup!$B116,'CDCM Volume Forecasts'!$A$27:$AG$123,G$137,FALSE)</f>
        <v>0</v>
      </c>
      <c r="H151" s="10"/>
      <c r="I151"/>
      <c r="J151"/>
      <c r="K151"/>
    </row>
    <row r="152" spans="1:11" ht="15">
      <c r="A152" s="11" t="s">
        <v>153</v>
      </c>
      <c r="B152" s="4">
        <f>VLOOKUP(Vlookup!$B117,'CDCM Volume Forecasts'!$A$27:$AG$123,B$137,FALSE)</f>
        <v>0</v>
      </c>
      <c r="C152" s="8">
        <f>VLOOKUP(Vlookup!$B117,'CDCM Volume Forecasts'!$A$27:$AG$123,C$137,FALSE)</f>
        <v>0</v>
      </c>
      <c r="D152" s="8">
        <f>VLOOKUP(Vlookup!$B117,'CDCM Volume Forecasts'!$A$27:$AG$123,D$137,FALSE)</f>
        <v>0</v>
      </c>
      <c r="E152" s="14">
        <f>VLOOKUP(Vlookup!$B117,'CDCM Volume Forecasts'!$A$27:$AG$123,E$137,FALSE)</f>
        <v>0</v>
      </c>
      <c r="F152" s="8">
        <f>VLOOKUP(Vlookup!$B117,'CDCM Volume Forecasts'!$A$27:$AG$123,F$137,FALSE)</f>
        <v>0</v>
      </c>
      <c r="G152" s="8">
        <f>VLOOKUP(Vlookup!$B117,'CDCM Volume Forecasts'!$A$27:$AG$123,G$137,FALSE)</f>
        <v>0</v>
      </c>
      <c r="H152" s="10"/>
      <c r="I152"/>
      <c r="J152"/>
      <c r="K152"/>
    </row>
    <row r="153" spans="1:11" ht="15">
      <c r="A153" s="11" t="s">
        <v>154</v>
      </c>
      <c r="B153" s="4">
        <f>VLOOKUP(Vlookup!$B118,'CDCM Volume Forecasts'!$A$27:$AG$123,B$137,FALSE)</f>
        <v>0</v>
      </c>
      <c r="C153" s="8">
        <f>VLOOKUP(Vlookup!$B118,'CDCM Volume Forecasts'!$A$27:$AG$123,C$137,FALSE)</f>
        <v>0</v>
      </c>
      <c r="D153" s="8">
        <f>VLOOKUP(Vlookup!$B118,'CDCM Volume Forecasts'!$A$27:$AG$123,D$137,FALSE)</f>
        <v>0</v>
      </c>
      <c r="E153" s="14">
        <f>VLOOKUP(Vlookup!$B118,'CDCM Volume Forecasts'!$A$27:$AG$123,E$137,FALSE)</f>
        <v>0</v>
      </c>
      <c r="F153" s="8">
        <f>VLOOKUP(Vlookup!$B118,'CDCM Volume Forecasts'!$A$27:$AG$123,F$137,FALSE)</f>
        <v>0</v>
      </c>
      <c r="G153" s="8">
        <f>VLOOKUP(Vlookup!$B118,'CDCM Volume Forecasts'!$A$27:$AG$123,G$137,FALSE)</f>
        <v>0</v>
      </c>
      <c r="H153" s="10"/>
      <c r="I153"/>
      <c r="J153"/>
      <c r="K153"/>
    </row>
    <row r="154" spans="1:11" ht="15">
      <c r="A154" s="17" t="s">
        <v>155</v>
      </c>
      <c r="B154" s="18">
        <f>VLOOKUP(Vlookup!$B119,'CDCM Volume Forecasts'!$A$27:$AG$123,B$137,FALSE)</f>
        <v>0</v>
      </c>
      <c r="C154" s="18">
        <f>VLOOKUP(Vlookup!$B119,'CDCM Volume Forecasts'!$A$27:$AG$123,C$137,FALSE)</f>
        <v>0</v>
      </c>
      <c r="D154" s="18">
        <f>VLOOKUP(Vlookup!$B119,'CDCM Volume Forecasts'!$A$27:$AG$123,D$137,FALSE)</f>
        <v>0</v>
      </c>
      <c r="E154" s="18">
        <f>VLOOKUP(Vlookup!$B119,'CDCM Volume Forecasts'!$A$27:$AG$123,E$137,FALSE)</f>
        <v>0</v>
      </c>
      <c r="F154" s="18">
        <f>VLOOKUP(Vlookup!$B119,'CDCM Volume Forecasts'!$A$27:$AG$123,F$137,FALSE)</f>
        <v>0</v>
      </c>
      <c r="G154" s="18">
        <f>VLOOKUP(Vlookup!$B119,'CDCM Volume Forecasts'!$A$27:$AG$123,G$137,FALSE)</f>
        <v>0</v>
      </c>
      <c r="H154" s="10"/>
      <c r="I154"/>
      <c r="J154"/>
      <c r="K154"/>
    </row>
    <row r="155" spans="1:11" ht="15">
      <c r="A155" s="11" t="s">
        <v>94</v>
      </c>
      <c r="B155" s="4">
        <f>VLOOKUP(Vlookup!$B120,'CDCM Volume Forecasts'!$A$27:$AG$123,B$137,FALSE)</f>
        <v>823197.95863007847</v>
      </c>
      <c r="C155" s="8">
        <f>VLOOKUP(Vlookup!$B120,'CDCM Volume Forecasts'!$A$27:$AG$123,C$137,FALSE)</f>
        <v>0</v>
      </c>
      <c r="D155" s="8">
        <f>VLOOKUP(Vlookup!$B120,'CDCM Volume Forecasts'!$A$27:$AG$123,D$137,FALSE)</f>
        <v>0</v>
      </c>
      <c r="E155" s="14">
        <f>VLOOKUP(Vlookup!$B120,'CDCM Volume Forecasts'!$A$27:$AG$123,E$137,FALSE)</f>
        <v>63787</v>
      </c>
      <c r="F155" s="8">
        <f>VLOOKUP(Vlookup!$B120,'CDCM Volume Forecasts'!$A$27:$AG$123,F$137,FALSE)</f>
        <v>0</v>
      </c>
      <c r="G155" s="8">
        <f>VLOOKUP(Vlookup!$B120,'CDCM Volume Forecasts'!$A$27:$AG$123,G$137,FALSE)</f>
        <v>0</v>
      </c>
      <c r="H155" s="10"/>
      <c r="I155"/>
      <c r="J155"/>
      <c r="K155"/>
    </row>
    <row r="156" spans="1:11" ht="15">
      <c r="A156" s="11" t="s">
        <v>156</v>
      </c>
      <c r="B156" s="4">
        <f>VLOOKUP(Vlookup!$B121,'CDCM Volume Forecasts'!$A$27:$AG$123,B$137,FALSE)</f>
        <v>56.743614639178105</v>
      </c>
      <c r="C156" s="8">
        <f>VLOOKUP(Vlookup!$B121,'CDCM Volume Forecasts'!$A$27:$AG$123,C$137,FALSE)</f>
        <v>0</v>
      </c>
      <c r="D156" s="8">
        <f>VLOOKUP(Vlookup!$B121,'CDCM Volume Forecasts'!$A$27:$AG$123,D$137,FALSE)</f>
        <v>0</v>
      </c>
      <c r="E156" s="14">
        <f>VLOOKUP(Vlookup!$B121,'CDCM Volume Forecasts'!$A$27:$AG$123,E$137,FALSE)</f>
        <v>4</v>
      </c>
      <c r="F156" s="8">
        <f>VLOOKUP(Vlookup!$B121,'CDCM Volume Forecasts'!$A$27:$AG$123,F$137,FALSE)</f>
        <v>0</v>
      </c>
      <c r="G156" s="8">
        <f>VLOOKUP(Vlookup!$B121,'CDCM Volume Forecasts'!$A$27:$AG$123,G$137,FALSE)</f>
        <v>0</v>
      </c>
      <c r="H156" s="10"/>
      <c r="I156"/>
      <c r="J156"/>
      <c r="K156"/>
    </row>
    <row r="157" spans="1:11" ht="15">
      <c r="A157" s="11" t="s">
        <v>157</v>
      </c>
      <c r="B157" s="4">
        <f>VLOOKUP(Vlookup!$B122,'CDCM Volume Forecasts'!$A$27:$AG$123,B$137,FALSE)</f>
        <v>2717.0896874333912</v>
      </c>
      <c r="C157" s="8">
        <f>VLOOKUP(Vlookup!$B122,'CDCM Volume Forecasts'!$A$27:$AG$123,C$137,FALSE)</f>
        <v>0</v>
      </c>
      <c r="D157" s="8">
        <f>VLOOKUP(Vlookup!$B122,'CDCM Volume Forecasts'!$A$27:$AG$123,D$137,FALSE)</f>
        <v>0</v>
      </c>
      <c r="E157" s="14">
        <f>VLOOKUP(Vlookup!$B122,'CDCM Volume Forecasts'!$A$27:$AG$123,E$137,FALSE)</f>
        <v>110</v>
      </c>
      <c r="F157" s="8">
        <f>VLOOKUP(Vlookup!$B122,'CDCM Volume Forecasts'!$A$27:$AG$123,F$137,FALSE)</f>
        <v>0</v>
      </c>
      <c r="G157" s="8">
        <f>VLOOKUP(Vlookup!$B122,'CDCM Volume Forecasts'!$A$27:$AG$123,G$137,FALSE)</f>
        <v>0</v>
      </c>
      <c r="H157" s="10"/>
      <c r="I157"/>
      <c r="J157"/>
      <c r="K157"/>
    </row>
    <row r="158" spans="1:11" ht="15">
      <c r="A158" s="17" t="s">
        <v>158</v>
      </c>
      <c r="B158" s="18">
        <f>VLOOKUP(Vlookup!$B123,'CDCM Volume Forecasts'!$A$27:$AG$123,B$137,FALSE)</f>
        <v>0</v>
      </c>
      <c r="C158" s="18">
        <f>VLOOKUP(Vlookup!$B123,'CDCM Volume Forecasts'!$A$27:$AG$123,C$137,FALSE)</f>
        <v>0</v>
      </c>
      <c r="D158" s="18">
        <f>VLOOKUP(Vlookup!$B123,'CDCM Volume Forecasts'!$A$27:$AG$123,D$137,FALSE)</f>
        <v>0</v>
      </c>
      <c r="E158" s="18">
        <f>VLOOKUP(Vlookup!$B123,'CDCM Volume Forecasts'!$A$27:$AG$123,E$137,FALSE)</f>
        <v>0</v>
      </c>
      <c r="F158" s="18">
        <f>VLOOKUP(Vlookup!$B123,'CDCM Volume Forecasts'!$A$27:$AG$123,F$137,FALSE)</f>
        <v>0</v>
      </c>
      <c r="G158" s="18">
        <f>VLOOKUP(Vlookup!$B123,'CDCM Volume Forecasts'!$A$27:$AG$123,G$137,FALSE)</f>
        <v>0</v>
      </c>
      <c r="H158" s="10"/>
      <c r="I158"/>
      <c r="J158"/>
      <c r="K158"/>
    </row>
    <row r="159" spans="1:11" ht="15">
      <c r="A159" s="11" t="s">
        <v>95</v>
      </c>
      <c r="B159" s="4">
        <f>VLOOKUP(Vlookup!$B124,'CDCM Volume Forecasts'!$A$27:$AG$123,B$137,FALSE)</f>
        <v>206801.40932707267</v>
      </c>
      <c r="C159" s="4">
        <f>VLOOKUP(Vlookup!$B124,'CDCM Volume Forecasts'!$A$27:$AG$123,C$137,FALSE)</f>
        <v>92825.537560705707</v>
      </c>
      <c r="D159" s="8">
        <f>VLOOKUP(Vlookup!$B124,'CDCM Volume Forecasts'!$A$27:$AG$123,D$137,FALSE)</f>
        <v>0</v>
      </c>
      <c r="E159" s="14">
        <f>VLOOKUP(Vlookup!$B124,'CDCM Volume Forecasts'!$A$27:$AG$123,E$137,FALSE)</f>
        <v>13441</v>
      </c>
      <c r="F159" s="8">
        <f>VLOOKUP(Vlookup!$B124,'CDCM Volume Forecasts'!$A$27:$AG$123,F$137,FALSE)</f>
        <v>0</v>
      </c>
      <c r="G159" s="8">
        <f>VLOOKUP(Vlookup!$B124,'CDCM Volume Forecasts'!$A$27:$AG$123,G$137,FALSE)</f>
        <v>0</v>
      </c>
      <c r="H159" s="10"/>
      <c r="I159"/>
      <c r="J159"/>
      <c r="K159"/>
    </row>
    <row r="160" spans="1:11" ht="15">
      <c r="A160" s="11" t="s">
        <v>159</v>
      </c>
      <c r="B160" s="4">
        <f>VLOOKUP(Vlookup!$B125,'CDCM Volume Forecasts'!$A$27:$AG$123,B$137,FALSE)</f>
        <v>0</v>
      </c>
      <c r="C160" s="4">
        <f>VLOOKUP(Vlookup!$B125,'CDCM Volume Forecasts'!$A$27:$AG$123,C$137,FALSE)</f>
        <v>0</v>
      </c>
      <c r="D160" s="8">
        <f>VLOOKUP(Vlookup!$B125,'CDCM Volume Forecasts'!$A$27:$AG$123,D$137,FALSE)</f>
        <v>0</v>
      </c>
      <c r="E160" s="14">
        <f>VLOOKUP(Vlookup!$B125,'CDCM Volume Forecasts'!$A$27:$AG$123,E$137,FALSE)</f>
        <v>0</v>
      </c>
      <c r="F160" s="8">
        <f>VLOOKUP(Vlookup!$B125,'CDCM Volume Forecasts'!$A$27:$AG$123,F$137,FALSE)</f>
        <v>0</v>
      </c>
      <c r="G160" s="8">
        <f>VLOOKUP(Vlookup!$B125,'CDCM Volume Forecasts'!$A$27:$AG$123,G$137,FALSE)</f>
        <v>0</v>
      </c>
      <c r="H160" s="10"/>
      <c r="I160"/>
      <c r="J160"/>
      <c r="K160"/>
    </row>
    <row r="161" spans="1:11" ht="15">
      <c r="A161" s="11" t="s">
        <v>160</v>
      </c>
      <c r="B161" s="4">
        <f>VLOOKUP(Vlookup!$B126,'CDCM Volume Forecasts'!$A$27:$AG$123,B$137,FALSE)</f>
        <v>845.42130757211385</v>
      </c>
      <c r="C161" s="4">
        <f>VLOOKUP(Vlookup!$B126,'CDCM Volume Forecasts'!$A$27:$AG$123,C$137,FALSE)</f>
        <v>110.3044954465786</v>
      </c>
      <c r="D161" s="8">
        <f>VLOOKUP(Vlookup!$B126,'CDCM Volume Forecasts'!$A$27:$AG$123,D$137,FALSE)</f>
        <v>0</v>
      </c>
      <c r="E161" s="14">
        <f>VLOOKUP(Vlookup!$B126,'CDCM Volume Forecasts'!$A$27:$AG$123,E$137,FALSE)</f>
        <v>9</v>
      </c>
      <c r="F161" s="8">
        <f>VLOOKUP(Vlookup!$B126,'CDCM Volume Forecasts'!$A$27:$AG$123,F$137,FALSE)</f>
        <v>0</v>
      </c>
      <c r="G161" s="8">
        <f>VLOOKUP(Vlookup!$B126,'CDCM Volume Forecasts'!$A$27:$AG$123,G$137,FALSE)</f>
        <v>0</v>
      </c>
      <c r="H161" s="10"/>
      <c r="I161"/>
      <c r="J161"/>
      <c r="K161"/>
    </row>
    <row r="162" spans="1:11" ht="15">
      <c r="A162" s="17" t="s">
        <v>161</v>
      </c>
      <c r="B162" s="18">
        <f>VLOOKUP(Vlookup!$B127,'CDCM Volume Forecasts'!$A$27:$AG$123,B$137,FALSE)</f>
        <v>0</v>
      </c>
      <c r="C162" s="18">
        <f>VLOOKUP(Vlookup!$B127,'CDCM Volume Forecasts'!$A$27:$AG$123,C$137,FALSE)</f>
        <v>0</v>
      </c>
      <c r="D162" s="18">
        <f>VLOOKUP(Vlookup!$B127,'CDCM Volume Forecasts'!$A$27:$AG$123,D$137,FALSE)</f>
        <v>0</v>
      </c>
      <c r="E162" s="18">
        <f>VLOOKUP(Vlookup!$B127,'CDCM Volume Forecasts'!$A$27:$AG$123,E$137,FALSE)</f>
        <v>0</v>
      </c>
      <c r="F162" s="18">
        <f>VLOOKUP(Vlookup!$B127,'CDCM Volume Forecasts'!$A$27:$AG$123,F$137,FALSE)</f>
        <v>0</v>
      </c>
      <c r="G162" s="18">
        <f>VLOOKUP(Vlookup!$B127,'CDCM Volume Forecasts'!$A$27:$AG$123,G$137,FALSE)</f>
        <v>0</v>
      </c>
      <c r="H162" s="10"/>
      <c r="I162"/>
      <c r="J162"/>
      <c r="K162"/>
    </row>
    <row r="163" spans="1:11" ht="15">
      <c r="A163" s="11" t="s">
        <v>130</v>
      </c>
      <c r="B163" s="4">
        <f>VLOOKUP(Vlookup!$B128,'CDCM Volume Forecasts'!$A$27:$AG$123,B$137,FALSE)</f>
        <v>2262.2093594051807</v>
      </c>
      <c r="C163" s="8">
        <f>VLOOKUP(Vlookup!$B128,'CDCM Volume Forecasts'!$A$27:$AG$123,C$137,FALSE)</f>
        <v>0</v>
      </c>
      <c r="D163" s="8">
        <f>VLOOKUP(Vlookup!$B128,'CDCM Volume Forecasts'!$A$27:$AG$123,D$137,FALSE)</f>
        <v>0</v>
      </c>
      <c r="E163" s="14">
        <f>VLOOKUP(Vlookup!$B128,'CDCM Volume Forecasts'!$A$27:$AG$123,E$137,FALSE)</f>
        <v>0</v>
      </c>
      <c r="F163" s="8">
        <f>VLOOKUP(Vlookup!$B128,'CDCM Volume Forecasts'!$A$27:$AG$123,F$137,FALSE)</f>
        <v>0</v>
      </c>
      <c r="G163" s="8">
        <f>VLOOKUP(Vlookup!$B128,'CDCM Volume Forecasts'!$A$27:$AG$123,G$137,FALSE)</f>
        <v>0</v>
      </c>
      <c r="H163" s="10"/>
      <c r="I163"/>
      <c r="J163"/>
      <c r="K163"/>
    </row>
    <row r="164" spans="1:11" ht="30">
      <c r="A164" s="11" t="s">
        <v>162</v>
      </c>
      <c r="B164" s="4">
        <f>VLOOKUP(Vlookup!$B129,'CDCM Volume Forecasts'!$A$27:$AG$123,B$137,FALSE)</f>
        <v>0</v>
      </c>
      <c r="C164" s="8">
        <f>VLOOKUP(Vlookup!$B129,'CDCM Volume Forecasts'!$A$27:$AG$123,C$137,FALSE)</f>
        <v>0</v>
      </c>
      <c r="D164" s="8">
        <f>VLOOKUP(Vlookup!$B129,'CDCM Volume Forecasts'!$A$27:$AG$123,D$137,FALSE)</f>
        <v>0</v>
      </c>
      <c r="E164" s="14">
        <f>VLOOKUP(Vlookup!$B129,'CDCM Volume Forecasts'!$A$27:$AG$123,E$137,FALSE)</f>
        <v>0</v>
      </c>
      <c r="F164" s="8">
        <f>VLOOKUP(Vlookup!$B129,'CDCM Volume Forecasts'!$A$27:$AG$123,F$137,FALSE)</f>
        <v>0</v>
      </c>
      <c r="G164" s="8">
        <f>VLOOKUP(Vlookup!$B129,'CDCM Volume Forecasts'!$A$27:$AG$123,G$137,FALSE)</f>
        <v>0</v>
      </c>
      <c r="H164" s="10"/>
      <c r="I164"/>
      <c r="J164"/>
      <c r="K164"/>
    </row>
    <row r="165" spans="1:11" ht="30">
      <c r="A165" s="11" t="s">
        <v>163</v>
      </c>
      <c r="B165" s="4">
        <f>VLOOKUP(Vlookup!$B130,'CDCM Volume Forecasts'!$A$27:$AG$123,B$137,FALSE)</f>
        <v>0</v>
      </c>
      <c r="C165" s="8">
        <f>VLOOKUP(Vlookup!$B130,'CDCM Volume Forecasts'!$A$27:$AG$123,C$137,FALSE)</f>
        <v>0</v>
      </c>
      <c r="D165" s="8">
        <f>VLOOKUP(Vlookup!$B130,'CDCM Volume Forecasts'!$A$27:$AG$123,D$137,FALSE)</f>
        <v>0</v>
      </c>
      <c r="E165" s="14">
        <f>VLOOKUP(Vlookup!$B130,'CDCM Volume Forecasts'!$A$27:$AG$123,E$137,FALSE)</f>
        <v>0</v>
      </c>
      <c r="F165" s="8">
        <f>VLOOKUP(Vlookup!$B130,'CDCM Volume Forecasts'!$A$27:$AG$123,F$137,FALSE)</f>
        <v>0</v>
      </c>
      <c r="G165" s="8">
        <f>VLOOKUP(Vlookup!$B130,'CDCM Volume Forecasts'!$A$27:$AG$123,G$137,FALSE)</f>
        <v>0</v>
      </c>
      <c r="H165" s="10"/>
      <c r="I165"/>
      <c r="J165"/>
      <c r="K165"/>
    </row>
    <row r="166" spans="1:11" ht="15">
      <c r="A166" s="17" t="s">
        <v>164</v>
      </c>
      <c r="B166" s="18">
        <f>VLOOKUP(Vlookup!$B131,'CDCM Volume Forecasts'!$A$27:$AG$123,B$137,FALSE)</f>
        <v>0</v>
      </c>
      <c r="C166" s="18">
        <f>VLOOKUP(Vlookup!$B131,'CDCM Volume Forecasts'!$A$27:$AG$123,C$137,FALSE)</f>
        <v>0</v>
      </c>
      <c r="D166" s="18">
        <f>VLOOKUP(Vlookup!$B131,'CDCM Volume Forecasts'!$A$27:$AG$123,D$137,FALSE)</f>
        <v>0</v>
      </c>
      <c r="E166" s="18">
        <f>VLOOKUP(Vlookup!$B131,'CDCM Volume Forecasts'!$A$27:$AG$123,E$137,FALSE)</f>
        <v>0</v>
      </c>
      <c r="F166" s="18">
        <f>VLOOKUP(Vlookup!$B131,'CDCM Volume Forecasts'!$A$27:$AG$123,F$137,FALSE)</f>
        <v>0</v>
      </c>
      <c r="G166" s="18">
        <f>VLOOKUP(Vlookup!$B131,'CDCM Volume Forecasts'!$A$27:$AG$123,G$137,FALSE)</f>
        <v>0</v>
      </c>
      <c r="H166" s="10"/>
      <c r="I166"/>
      <c r="J166"/>
      <c r="K166"/>
    </row>
    <row r="167" spans="1:11" ht="15">
      <c r="A167" s="11" t="s">
        <v>96</v>
      </c>
      <c r="B167" s="4">
        <f>VLOOKUP(Vlookup!$B132,'CDCM Volume Forecasts'!$A$27:$AG$123,B$137,FALSE)</f>
        <v>379857.67107737559</v>
      </c>
      <c r="C167" s="4">
        <f>VLOOKUP(Vlookup!$B132,'CDCM Volume Forecasts'!$A$27:$AG$123,C$137,FALSE)</f>
        <v>99896.639824048034</v>
      </c>
      <c r="D167" s="8">
        <f>VLOOKUP(Vlookup!$B132,'CDCM Volume Forecasts'!$A$27:$AG$123,D$137,FALSE)</f>
        <v>0</v>
      </c>
      <c r="E167" s="14">
        <f>VLOOKUP(Vlookup!$B132,'CDCM Volume Forecasts'!$A$27:$AG$123,E$137,FALSE)</f>
        <v>4728</v>
      </c>
      <c r="F167" s="8">
        <f>VLOOKUP(Vlookup!$B132,'CDCM Volume Forecasts'!$A$27:$AG$123,F$137,FALSE)</f>
        <v>0</v>
      </c>
      <c r="G167" s="8">
        <f>VLOOKUP(Vlookup!$B132,'CDCM Volume Forecasts'!$A$27:$AG$123,G$137,FALSE)</f>
        <v>0</v>
      </c>
      <c r="H167" s="10"/>
      <c r="I167"/>
      <c r="J167"/>
      <c r="K167"/>
    </row>
    <row r="168" spans="1:11" ht="15">
      <c r="A168" s="11" t="s">
        <v>165</v>
      </c>
      <c r="B168" s="4">
        <f>VLOOKUP(Vlookup!$B133,'CDCM Volume Forecasts'!$A$27:$AG$123,B$137,FALSE)</f>
        <v>0</v>
      </c>
      <c r="C168" s="4">
        <f>VLOOKUP(Vlookup!$B133,'CDCM Volume Forecasts'!$A$27:$AG$123,C$137,FALSE)</f>
        <v>0</v>
      </c>
      <c r="D168" s="8">
        <f>VLOOKUP(Vlookup!$B133,'CDCM Volume Forecasts'!$A$27:$AG$123,D$137,FALSE)</f>
        <v>0</v>
      </c>
      <c r="E168" s="14">
        <f>VLOOKUP(Vlookup!$B133,'CDCM Volume Forecasts'!$A$27:$AG$123,E$137,FALSE)</f>
        <v>0</v>
      </c>
      <c r="F168" s="8">
        <f>VLOOKUP(Vlookup!$B133,'CDCM Volume Forecasts'!$A$27:$AG$123,F$137,FALSE)</f>
        <v>0</v>
      </c>
      <c r="G168" s="8">
        <f>VLOOKUP(Vlookup!$B133,'CDCM Volume Forecasts'!$A$27:$AG$123,G$137,FALSE)</f>
        <v>0</v>
      </c>
      <c r="H168" s="10"/>
      <c r="I168"/>
      <c r="J168"/>
      <c r="K168"/>
    </row>
    <row r="169" spans="1:11" ht="15">
      <c r="A169" s="11" t="s">
        <v>166</v>
      </c>
      <c r="B169" s="4">
        <f>VLOOKUP(Vlookup!$B134,'CDCM Volume Forecasts'!$A$27:$AG$123,B$137,FALSE)</f>
        <v>1094.445243350247</v>
      </c>
      <c r="C169" s="4">
        <f>VLOOKUP(Vlookup!$B134,'CDCM Volume Forecasts'!$A$27:$AG$123,C$137,FALSE)</f>
        <v>144.85382852920503</v>
      </c>
      <c r="D169" s="8">
        <f>VLOOKUP(Vlookup!$B134,'CDCM Volume Forecasts'!$A$27:$AG$123,D$137,FALSE)</f>
        <v>0</v>
      </c>
      <c r="E169" s="14">
        <f>VLOOKUP(Vlookup!$B134,'CDCM Volume Forecasts'!$A$27:$AG$123,E$137,FALSE)</f>
        <v>10</v>
      </c>
      <c r="F169" s="8">
        <f>VLOOKUP(Vlookup!$B134,'CDCM Volume Forecasts'!$A$27:$AG$123,F$137,FALSE)</f>
        <v>0</v>
      </c>
      <c r="G169" s="8">
        <f>VLOOKUP(Vlookup!$B134,'CDCM Volume Forecasts'!$A$27:$AG$123,G$137,FALSE)</f>
        <v>0</v>
      </c>
      <c r="H169" s="10"/>
      <c r="I169"/>
      <c r="J169"/>
      <c r="K169"/>
    </row>
    <row r="170" spans="1:11" ht="15">
      <c r="A170" s="17" t="s">
        <v>167</v>
      </c>
      <c r="B170" s="18">
        <f>VLOOKUP(Vlookup!$B135,'CDCM Volume Forecasts'!$A$27:$AG$123,B$137,FALSE)</f>
        <v>0</v>
      </c>
      <c r="C170" s="18">
        <f>VLOOKUP(Vlookup!$B135,'CDCM Volume Forecasts'!$A$27:$AG$123,C$137,FALSE)</f>
        <v>0</v>
      </c>
      <c r="D170" s="18">
        <f>VLOOKUP(Vlookup!$B135,'CDCM Volume Forecasts'!$A$27:$AG$123,D$137,FALSE)</f>
        <v>0</v>
      </c>
      <c r="E170" s="18">
        <f>VLOOKUP(Vlookup!$B135,'CDCM Volume Forecasts'!$A$27:$AG$123,E$137,FALSE)</f>
        <v>0</v>
      </c>
      <c r="F170" s="18">
        <f>VLOOKUP(Vlookup!$B135,'CDCM Volume Forecasts'!$A$27:$AG$123,F$137,FALSE)</f>
        <v>0</v>
      </c>
      <c r="G170" s="18">
        <f>VLOOKUP(Vlookup!$B135,'CDCM Volume Forecasts'!$A$27:$AG$123,G$137,FALSE)</f>
        <v>0</v>
      </c>
      <c r="H170" s="10"/>
      <c r="I170"/>
      <c r="J170"/>
      <c r="K170"/>
    </row>
    <row r="171" spans="1:11" ht="15">
      <c r="A171" s="11" t="s">
        <v>97</v>
      </c>
      <c r="B171" s="4">
        <f>VLOOKUP(Vlookup!$B136,'CDCM Volume Forecasts'!$A$27:$AG$123,B$137,FALSE)</f>
        <v>517.04045501631606</v>
      </c>
      <c r="C171" s="4">
        <f>VLOOKUP(Vlookup!$B136,'CDCM Volume Forecasts'!$A$27:$AG$123,C$137,FALSE)</f>
        <v>136.89783135294002</v>
      </c>
      <c r="D171" s="8">
        <f>VLOOKUP(Vlookup!$B136,'CDCM Volume Forecasts'!$A$27:$AG$123,D$137,FALSE)</f>
        <v>0</v>
      </c>
      <c r="E171" s="14">
        <f>VLOOKUP(Vlookup!$B136,'CDCM Volume Forecasts'!$A$27:$AG$123,E$137,FALSE)</f>
        <v>4</v>
      </c>
      <c r="F171" s="8">
        <f>VLOOKUP(Vlookup!$B136,'CDCM Volume Forecasts'!$A$27:$AG$123,F$137,FALSE)</f>
        <v>0</v>
      </c>
      <c r="G171" s="8">
        <f>VLOOKUP(Vlookup!$B136,'CDCM Volume Forecasts'!$A$27:$AG$123,G$137,FALSE)</f>
        <v>0</v>
      </c>
      <c r="H171" s="10"/>
      <c r="I171"/>
      <c r="J171"/>
      <c r="K171"/>
    </row>
    <row r="172" spans="1:11" ht="15">
      <c r="A172" s="17" t="s">
        <v>168</v>
      </c>
      <c r="B172" s="18">
        <f>VLOOKUP(Vlookup!$B137,'CDCM Volume Forecasts'!$A$27:$AG$123,B$137,FALSE)</f>
        <v>0</v>
      </c>
      <c r="C172" s="18">
        <f>VLOOKUP(Vlookup!$B137,'CDCM Volume Forecasts'!$A$27:$AG$123,C$137,FALSE)</f>
        <v>0</v>
      </c>
      <c r="D172" s="18">
        <f>VLOOKUP(Vlookup!$B137,'CDCM Volume Forecasts'!$A$27:$AG$123,D$137,FALSE)</f>
        <v>0</v>
      </c>
      <c r="E172" s="18">
        <f>VLOOKUP(Vlookup!$B137,'CDCM Volume Forecasts'!$A$27:$AG$123,E$137,FALSE)</f>
        <v>0</v>
      </c>
      <c r="F172" s="18">
        <f>VLOOKUP(Vlookup!$B137,'CDCM Volume Forecasts'!$A$27:$AG$123,F$137,FALSE)</f>
        <v>0</v>
      </c>
      <c r="G172" s="18">
        <f>VLOOKUP(Vlookup!$B137,'CDCM Volume Forecasts'!$A$27:$AG$123,G$137,FALSE)</f>
        <v>0</v>
      </c>
      <c r="H172" s="10"/>
      <c r="I172"/>
      <c r="J172"/>
      <c r="K172"/>
    </row>
    <row r="173" spans="1:11" ht="15">
      <c r="A173" s="11" t="s">
        <v>110</v>
      </c>
      <c r="B173" s="4">
        <f>VLOOKUP(Vlookup!$B138,'CDCM Volume Forecasts'!$A$27:$AG$123,B$137,FALSE)</f>
        <v>753.60754258070392</v>
      </c>
      <c r="C173" s="4">
        <f>VLOOKUP(Vlookup!$B138,'CDCM Volume Forecasts'!$A$27:$AG$123,C$137,FALSE)</f>
        <v>161.59553674706402</v>
      </c>
      <c r="D173" s="8">
        <f>VLOOKUP(Vlookup!$B138,'CDCM Volume Forecasts'!$A$27:$AG$123,D$137,FALSE)</f>
        <v>0</v>
      </c>
      <c r="E173" s="14">
        <f>VLOOKUP(Vlookup!$B138,'CDCM Volume Forecasts'!$A$27:$AG$123,E$137,FALSE)</f>
        <v>13</v>
      </c>
      <c r="F173" s="8">
        <f>VLOOKUP(Vlookup!$B138,'CDCM Volume Forecasts'!$A$27:$AG$123,F$137,FALSE)</f>
        <v>0</v>
      </c>
      <c r="G173" s="8">
        <f>VLOOKUP(Vlookup!$B138,'CDCM Volume Forecasts'!$A$27:$AG$123,G$137,FALSE)</f>
        <v>0</v>
      </c>
      <c r="H173" s="10"/>
      <c r="I173"/>
      <c r="J173"/>
      <c r="K173"/>
    </row>
    <row r="174" spans="1:11" ht="15">
      <c r="A174" s="17" t="s">
        <v>1650</v>
      </c>
      <c r="B174" s="18">
        <f>VLOOKUP(Vlookup!$B139,'CDCM Volume Forecasts'!$A$27:$AG$123,B$137,FALSE)</f>
        <v>0</v>
      </c>
      <c r="C174" s="18">
        <f>VLOOKUP(Vlookup!$B139,'CDCM Volume Forecasts'!$A$27:$AG$123,C$137,FALSE)</f>
        <v>0</v>
      </c>
      <c r="D174" s="18">
        <f>VLOOKUP(Vlookup!$B139,'CDCM Volume Forecasts'!$A$27:$AG$123,D$137,FALSE)</f>
        <v>0</v>
      </c>
      <c r="E174" s="18">
        <f>VLOOKUP(Vlookup!$B139,'CDCM Volume Forecasts'!$A$27:$AG$123,E$137,FALSE)</f>
        <v>0</v>
      </c>
      <c r="F174" s="18">
        <f>VLOOKUP(Vlookup!$B139,'CDCM Volume Forecasts'!$A$27:$AG$123,F$137,FALSE)</f>
        <v>0</v>
      </c>
      <c r="G174" s="18">
        <f>VLOOKUP(Vlookup!$B139,'CDCM Volume Forecasts'!$A$27:$AG$123,G$137,FALSE)</f>
        <v>0</v>
      </c>
      <c r="H174" s="10"/>
      <c r="I174"/>
      <c r="J174"/>
      <c r="K174"/>
    </row>
    <row r="175" spans="1:11" ht="15">
      <c r="A175" s="11" t="s">
        <v>1647</v>
      </c>
      <c r="B175" s="4">
        <f>VLOOKUP(Vlookup!$B140,'CDCM Volume Forecasts'!$A$27:$AG$123,B$137,FALSE)</f>
        <v>0</v>
      </c>
      <c r="C175" s="4">
        <f>VLOOKUP(Vlookup!$B140,'CDCM Volume Forecasts'!$A$27:$AG$123,C$137,FALSE)</f>
        <v>0</v>
      </c>
      <c r="D175" s="4">
        <f>VLOOKUP(Vlookup!$B140,'CDCM Volume Forecasts'!$A$27:$AG$123,D$137,FALSE)</f>
        <v>0</v>
      </c>
      <c r="E175" s="14">
        <f>VLOOKUP(Vlookup!$B140,'CDCM Volume Forecasts'!$A$27:$AG$123,E$137,FALSE)</f>
        <v>0</v>
      </c>
      <c r="F175" s="8">
        <f>VLOOKUP(Vlookup!$B140,'CDCM Volume Forecasts'!$A$27:$AG$123,F$137,FALSE)</f>
        <v>0</v>
      </c>
      <c r="G175" s="8">
        <f>VLOOKUP(Vlookup!$B140,'CDCM Volume Forecasts'!$A$27:$AG$123,G$137,FALSE)</f>
        <v>0</v>
      </c>
      <c r="H175" s="10"/>
      <c r="I175"/>
      <c r="J175"/>
      <c r="K175"/>
    </row>
    <row r="176" spans="1:11" ht="15">
      <c r="A176" s="11" t="s">
        <v>1644</v>
      </c>
      <c r="B176" s="4">
        <f>VLOOKUP(Vlookup!$B141,'CDCM Volume Forecasts'!$A$27:$AG$123,B$137,FALSE)</f>
        <v>0</v>
      </c>
      <c r="C176" s="4">
        <f>VLOOKUP(Vlookup!$B141,'CDCM Volume Forecasts'!$A$27:$AG$123,C$137,FALSE)</f>
        <v>0</v>
      </c>
      <c r="D176" s="4">
        <f>VLOOKUP(Vlookup!$B141,'CDCM Volume Forecasts'!$A$27:$AG$123,D$137,FALSE)</f>
        <v>0</v>
      </c>
      <c r="E176" s="14">
        <f>VLOOKUP(Vlookup!$B141,'CDCM Volume Forecasts'!$A$27:$AG$123,E$137,FALSE)</f>
        <v>0</v>
      </c>
      <c r="F176" s="8">
        <f>VLOOKUP(Vlookup!$B141,'CDCM Volume Forecasts'!$A$27:$AG$123,F$137,FALSE)</f>
        <v>0</v>
      </c>
      <c r="G176" s="8">
        <f>VLOOKUP(Vlookup!$B141,'CDCM Volume Forecasts'!$A$27:$AG$123,G$137,FALSE)</f>
        <v>0</v>
      </c>
      <c r="H176" s="10"/>
      <c r="I176"/>
      <c r="J176"/>
      <c r="K176"/>
    </row>
    <row r="177" spans="1:11" ht="15">
      <c r="A177" s="11" t="s">
        <v>1641</v>
      </c>
      <c r="B177" s="4">
        <f>VLOOKUP(Vlookup!$B142,'CDCM Volume Forecasts'!$A$27:$AG$123,B$137,FALSE)</f>
        <v>0</v>
      </c>
      <c r="C177" s="4">
        <f>VLOOKUP(Vlookup!$B142,'CDCM Volume Forecasts'!$A$27:$AG$123,C$137,FALSE)</f>
        <v>0</v>
      </c>
      <c r="D177" s="4">
        <f>VLOOKUP(Vlookup!$B142,'CDCM Volume Forecasts'!$A$27:$AG$123,D$137,FALSE)</f>
        <v>0</v>
      </c>
      <c r="E177" s="14">
        <f>VLOOKUP(Vlookup!$B142,'CDCM Volume Forecasts'!$A$27:$AG$123,E$137,FALSE)</f>
        <v>0</v>
      </c>
      <c r="F177" s="8">
        <f>VLOOKUP(Vlookup!$B142,'CDCM Volume Forecasts'!$A$27:$AG$123,F$137,FALSE)</f>
        <v>0</v>
      </c>
      <c r="G177" s="8">
        <f>VLOOKUP(Vlookup!$B142,'CDCM Volume Forecasts'!$A$27:$AG$123,G$137,FALSE)</f>
        <v>0</v>
      </c>
      <c r="H177" s="10"/>
      <c r="I177"/>
      <c r="J177"/>
      <c r="K177"/>
    </row>
    <row r="178" spans="1:11" ht="15">
      <c r="A178" s="17" t="s">
        <v>1649</v>
      </c>
      <c r="B178" s="18">
        <f>VLOOKUP(Vlookup!$B143,'CDCM Volume Forecasts'!$A$27:$AG$123,B$137,FALSE)</f>
        <v>0</v>
      </c>
      <c r="C178" s="18">
        <f>VLOOKUP(Vlookup!$B143,'CDCM Volume Forecasts'!$A$27:$AG$123,C$137,FALSE)</f>
        <v>0</v>
      </c>
      <c r="D178" s="18">
        <f>VLOOKUP(Vlookup!$B143,'CDCM Volume Forecasts'!$A$27:$AG$123,D$137,FALSE)</f>
        <v>0</v>
      </c>
      <c r="E178" s="18">
        <f>VLOOKUP(Vlookup!$B143,'CDCM Volume Forecasts'!$A$27:$AG$123,E$137,FALSE)</f>
        <v>0</v>
      </c>
      <c r="F178" s="18">
        <f>VLOOKUP(Vlookup!$B143,'CDCM Volume Forecasts'!$A$27:$AG$123,F$137,FALSE)</f>
        <v>0</v>
      </c>
      <c r="G178" s="18">
        <f>VLOOKUP(Vlookup!$B143,'CDCM Volume Forecasts'!$A$27:$AG$123,G$137,FALSE)</f>
        <v>0</v>
      </c>
      <c r="H178" s="10"/>
      <c r="I178"/>
      <c r="J178"/>
      <c r="K178"/>
    </row>
    <row r="179" spans="1:11" ht="15">
      <c r="A179" s="11" t="s">
        <v>1646</v>
      </c>
      <c r="B179" s="4">
        <f>VLOOKUP(Vlookup!$B144,'CDCM Volume Forecasts'!$A$27:$AG$123,B$137,FALSE)</f>
        <v>0</v>
      </c>
      <c r="C179" s="4">
        <f>VLOOKUP(Vlookup!$B144,'CDCM Volume Forecasts'!$A$27:$AG$123,C$137,FALSE)</f>
        <v>0</v>
      </c>
      <c r="D179" s="4">
        <f>VLOOKUP(Vlookup!$B144,'CDCM Volume Forecasts'!$A$27:$AG$123,D$137,FALSE)</f>
        <v>0</v>
      </c>
      <c r="E179" s="14">
        <f>VLOOKUP(Vlookup!$B144,'CDCM Volume Forecasts'!$A$27:$AG$123,E$137,FALSE)</f>
        <v>0</v>
      </c>
      <c r="F179" s="8">
        <f>VLOOKUP(Vlookup!$B144,'CDCM Volume Forecasts'!$A$27:$AG$123,F$137,FALSE)</f>
        <v>0</v>
      </c>
      <c r="G179" s="8">
        <f>VLOOKUP(Vlookup!$B144,'CDCM Volume Forecasts'!$A$27:$AG$123,G$137,FALSE)</f>
        <v>0</v>
      </c>
      <c r="H179" s="10"/>
      <c r="I179"/>
      <c r="J179"/>
      <c r="K179"/>
    </row>
    <row r="180" spans="1:11" ht="15">
      <c r="A180" s="11" t="s">
        <v>1643</v>
      </c>
      <c r="B180" s="4">
        <f>VLOOKUP(Vlookup!$B145,'CDCM Volume Forecasts'!$A$27:$AG$123,B$137,FALSE)</f>
        <v>0</v>
      </c>
      <c r="C180" s="4">
        <f>VLOOKUP(Vlookup!$B145,'CDCM Volume Forecasts'!$A$27:$AG$123,C$137,FALSE)</f>
        <v>0</v>
      </c>
      <c r="D180" s="4">
        <f>VLOOKUP(Vlookup!$B145,'CDCM Volume Forecasts'!$A$27:$AG$123,D$137,FALSE)</f>
        <v>0</v>
      </c>
      <c r="E180" s="14">
        <f>VLOOKUP(Vlookup!$B145,'CDCM Volume Forecasts'!$A$27:$AG$123,E$137,FALSE)</f>
        <v>0</v>
      </c>
      <c r="F180" s="8">
        <f>VLOOKUP(Vlookup!$B145,'CDCM Volume Forecasts'!$A$27:$AG$123,F$137,FALSE)</f>
        <v>0</v>
      </c>
      <c r="G180" s="8">
        <f>VLOOKUP(Vlookup!$B145,'CDCM Volume Forecasts'!$A$27:$AG$123,G$137,FALSE)</f>
        <v>0</v>
      </c>
      <c r="H180" s="10"/>
      <c r="I180"/>
      <c r="J180"/>
      <c r="K180"/>
    </row>
    <row r="181" spans="1:11" ht="15">
      <c r="A181" s="11" t="s">
        <v>1640</v>
      </c>
      <c r="B181" s="4">
        <f>VLOOKUP(Vlookup!$B146,'CDCM Volume Forecasts'!$A$27:$AG$123,B$137,FALSE)</f>
        <v>0</v>
      </c>
      <c r="C181" s="4">
        <f>VLOOKUP(Vlookup!$B146,'CDCM Volume Forecasts'!$A$27:$AG$123,C$137,FALSE)</f>
        <v>0</v>
      </c>
      <c r="D181" s="4">
        <f>VLOOKUP(Vlookup!$B146,'CDCM Volume Forecasts'!$A$27:$AG$123,D$137,FALSE)</f>
        <v>0</v>
      </c>
      <c r="E181" s="14">
        <f>VLOOKUP(Vlookup!$B146,'CDCM Volume Forecasts'!$A$27:$AG$123,E$137,FALSE)</f>
        <v>0</v>
      </c>
      <c r="F181" s="8">
        <f>VLOOKUP(Vlookup!$B146,'CDCM Volume Forecasts'!$A$27:$AG$123,F$137,FALSE)</f>
        <v>0</v>
      </c>
      <c r="G181" s="8">
        <f>VLOOKUP(Vlookup!$B146,'CDCM Volume Forecasts'!$A$27:$AG$123,G$137,FALSE)</f>
        <v>0</v>
      </c>
      <c r="H181" s="10"/>
      <c r="I181"/>
      <c r="J181"/>
      <c r="K181"/>
    </row>
    <row r="182" spans="1:11" ht="15">
      <c r="A182" s="17" t="s">
        <v>169</v>
      </c>
      <c r="B182" s="18">
        <f>VLOOKUP(Vlookup!$B147,'CDCM Volume Forecasts'!$A$27:$AG$123,B$137,FALSE)</f>
        <v>0</v>
      </c>
      <c r="C182" s="18">
        <f>VLOOKUP(Vlookup!$B147,'CDCM Volume Forecasts'!$A$27:$AG$123,C$137,FALSE)</f>
        <v>0</v>
      </c>
      <c r="D182" s="18">
        <f>VLOOKUP(Vlookup!$B147,'CDCM Volume Forecasts'!$A$27:$AG$123,D$137,FALSE)</f>
        <v>0</v>
      </c>
      <c r="E182" s="18">
        <f>VLOOKUP(Vlookup!$B147,'CDCM Volume Forecasts'!$A$27:$AG$123,E$137,FALSE)</f>
        <v>0</v>
      </c>
      <c r="F182" s="18">
        <f>VLOOKUP(Vlookup!$B147,'CDCM Volume Forecasts'!$A$27:$AG$123,F$137,FALSE)</f>
        <v>0</v>
      </c>
      <c r="G182" s="18">
        <f>VLOOKUP(Vlookup!$B147,'CDCM Volume Forecasts'!$A$27:$AG$123,G$137,FALSE)</f>
        <v>0</v>
      </c>
      <c r="H182" s="10"/>
      <c r="I182"/>
      <c r="J182"/>
      <c r="K182"/>
    </row>
    <row r="183" spans="1:11" ht="15">
      <c r="A183" s="11" t="s">
        <v>98</v>
      </c>
      <c r="B183" s="4">
        <f>VLOOKUP(Vlookup!$B148,'CDCM Volume Forecasts'!$A$27:$AG$123,B$137,FALSE)</f>
        <v>105280.60773635872</v>
      </c>
      <c r="C183" s="4">
        <f>VLOOKUP(Vlookup!$B148,'CDCM Volume Forecasts'!$A$27:$AG$123,C$137,FALSE)</f>
        <v>666906.91242974426</v>
      </c>
      <c r="D183" s="4">
        <f>VLOOKUP(Vlookup!$B148,'CDCM Volume Forecasts'!$A$27:$AG$123,D$137,FALSE)</f>
        <v>493272.90471028525</v>
      </c>
      <c r="E183" s="14">
        <f>VLOOKUP(Vlookup!$B148,'CDCM Volume Forecasts'!$A$27:$AG$123,E$137,FALSE)</f>
        <v>3111</v>
      </c>
      <c r="F183" s="14">
        <f>VLOOKUP(Vlookup!$B148,'CDCM Volume Forecasts'!$A$27:$AG$123,F$137,FALSE)</f>
        <v>578357</v>
      </c>
      <c r="G183" s="4">
        <f>VLOOKUP(Vlookup!$B148,'CDCM Volume Forecasts'!$A$27:$AG$123,G$137,FALSE)</f>
        <v>121162</v>
      </c>
      <c r="H183" s="10"/>
      <c r="I183"/>
      <c r="J183"/>
      <c r="K183"/>
    </row>
    <row r="184" spans="1:11" ht="15">
      <c r="A184" s="11" t="s">
        <v>170</v>
      </c>
      <c r="B184" s="4">
        <f>VLOOKUP(Vlookup!$B149,'CDCM Volume Forecasts'!$A$27:$AG$123,B$137,FALSE)</f>
        <v>0</v>
      </c>
      <c r="C184" s="4">
        <f>VLOOKUP(Vlookup!$B149,'CDCM Volume Forecasts'!$A$27:$AG$123,C$137,FALSE)</f>
        <v>0</v>
      </c>
      <c r="D184" s="4">
        <f>VLOOKUP(Vlookup!$B149,'CDCM Volume Forecasts'!$A$27:$AG$123,D$137,FALSE)</f>
        <v>0</v>
      </c>
      <c r="E184" s="14">
        <f>VLOOKUP(Vlookup!$B149,'CDCM Volume Forecasts'!$A$27:$AG$123,E$137,FALSE)</f>
        <v>0</v>
      </c>
      <c r="F184" s="14">
        <f>VLOOKUP(Vlookup!$B149,'CDCM Volume Forecasts'!$A$27:$AG$123,F$137,FALSE)</f>
        <v>0</v>
      </c>
      <c r="G184" s="4">
        <f>VLOOKUP(Vlookup!$B149,'CDCM Volume Forecasts'!$A$27:$AG$123,G$137,FALSE)</f>
        <v>0</v>
      </c>
      <c r="H184" s="10"/>
      <c r="I184"/>
      <c r="J184"/>
      <c r="K184"/>
    </row>
    <row r="185" spans="1:11" ht="15">
      <c r="A185" s="11" t="s">
        <v>171</v>
      </c>
      <c r="B185" s="4">
        <f>VLOOKUP(Vlookup!$B150,'CDCM Volume Forecasts'!$A$27:$AG$123,B$137,FALSE)</f>
        <v>1624.4972466770896</v>
      </c>
      <c r="C185" s="4">
        <f>VLOOKUP(Vlookup!$B150,'CDCM Volume Forecasts'!$A$27:$AG$123,C$137,FALSE)</f>
        <v>8871.8152011074108</v>
      </c>
      <c r="D185" s="4">
        <f>VLOOKUP(Vlookup!$B150,'CDCM Volume Forecasts'!$A$27:$AG$123,D$137,FALSE)</f>
        <v>6399.4295359516582</v>
      </c>
      <c r="E185" s="14">
        <f>VLOOKUP(Vlookup!$B150,'CDCM Volume Forecasts'!$A$27:$AG$123,E$137,FALSE)</f>
        <v>20</v>
      </c>
      <c r="F185" s="14">
        <f>VLOOKUP(Vlookup!$B150,'CDCM Volume Forecasts'!$A$27:$AG$123,F$137,FALSE)</f>
        <v>6985</v>
      </c>
      <c r="G185" s="4">
        <f>VLOOKUP(Vlookup!$B150,'CDCM Volume Forecasts'!$A$27:$AG$123,G$137,FALSE)</f>
        <v>558</v>
      </c>
      <c r="H185" s="10"/>
      <c r="I185"/>
      <c r="J185"/>
      <c r="K185"/>
    </row>
    <row r="186" spans="1:11" ht="15">
      <c r="A186" s="17" t="s">
        <v>172</v>
      </c>
      <c r="B186" s="18">
        <f>VLOOKUP(Vlookup!$B151,'CDCM Volume Forecasts'!$A$27:$AG$123,B$137,FALSE)</f>
        <v>0</v>
      </c>
      <c r="C186" s="18">
        <f>VLOOKUP(Vlookup!$B151,'CDCM Volume Forecasts'!$A$27:$AG$123,C$137,FALSE)</f>
        <v>0</v>
      </c>
      <c r="D186" s="18">
        <f>VLOOKUP(Vlookup!$B151,'CDCM Volume Forecasts'!$A$27:$AG$123,D$137,FALSE)</f>
        <v>0</v>
      </c>
      <c r="E186" s="18">
        <f>VLOOKUP(Vlookup!$B151,'CDCM Volume Forecasts'!$A$27:$AG$123,E$137,FALSE)</f>
        <v>0</v>
      </c>
      <c r="F186" s="18">
        <f>VLOOKUP(Vlookup!$B151,'CDCM Volume Forecasts'!$A$27:$AG$123,F$137,FALSE)</f>
        <v>0</v>
      </c>
      <c r="G186" s="18">
        <f>VLOOKUP(Vlookup!$B151,'CDCM Volume Forecasts'!$A$27:$AG$123,G$137,FALSE)</f>
        <v>0</v>
      </c>
      <c r="H186" s="10"/>
      <c r="I186"/>
      <c r="J186"/>
      <c r="K186"/>
    </row>
    <row r="187" spans="1:11" ht="15">
      <c r="A187" s="11" t="s">
        <v>99</v>
      </c>
      <c r="B187" s="4">
        <f>VLOOKUP(Vlookup!$B152,'CDCM Volume Forecasts'!$A$27:$AG$123,B$137,FALSE)</f>
        <v>1334.7866543787895</v>
      </c>
      <c r="C187" s="4">
        <f>VLOOKUP(Vlookup!$B152,'CDCM Volume Forecasts'!$A$27:$AG$123,C$137,FALSE)</f>
        <v>7582.7475303968895</v>
      </c>
      <c r="D187" s="4">
        <f>VLOOKUP(Vlookup!$B152,'CDCM Volume Forecasts'!$A$27:$AG$123,D$137,FALSE)</f>
        <v>5677.7124349562873</v>
      </c>
      <c r="E187" s="14">
        <f>VLOOKUP(Vlookup!$B152,'CDCM Volume Forecasts'!$A$27:$AG$123,E$137,FALSE)</f>
        <v>18</v>
      </c>
      <c r="F187" s="14">
        <f>VLOOKUP(Vlookup!$B152,'CDCM Volume Forecasts'!$A$27:$AG$123,F$137,FALSE)</f>
        <v>6238</v>
      </c>
      <c r="G187" s="4">
        <f>VLOOKUP(Vlookup!$B152,'CDCM Volume Forecasts'!$A$27:$AG$123,G$137,FALSE)</f>
        <v>1758</v>
      </c>
      <c r="H187" s="10"/>
      <c r="I187"/>
      <c r="J187"/>
      <c r="K187"/>
    </row>
    <row r="188" spans="1:11" ht="15">
      <c r="A188" s="11" t="s">
        <v>173</v>
      </c>
      <c r="B188" s="4">
        <f>VLOOKUP(Vlookup!$B153,'CDCM Volume Forecasts'!$A$27:$AG$123,B$137,FALSE)</f>
        <v>439.053309912727</v>
      </c>
      <c r="C188" s="4">
        <f>VLOOKUP(Vlookup!$B153,'CDCM Volume Forecasts'!$A$27:$AG$123,C$137,FALSE)</f>
        <v>2397.787892191192</v>
      </c>
      <c r="D188" s="4">
        <f>VLOOKUP(Vlookup!$B153,'CDCM Volume Forecasts'!$A$27:$AG$123,D$137,FALSE)</f>
        <v>1729.5755502572049</v>
      </c>
      <c r="E188" s="14">
        <f>VLOOKUP(Vlookup!$B153,'CDCM Volume Forecasts'!$A$27:$AG$123,E$137,FALSE)</f>
        <v>5</v>
      </c>
      <c r="F188" s="14">
        <f>VLOOKUP(Vlookup!$B153,'CDCM Volume Forecasts'!$A$27:$AG$123,F$137,FALSE)</f>
        <v>1067</v>
      </c>
      <c r="G188" s="4">
        <f>VLOOKUP(Vlookup!$B153,'CDCM Volume Forecasts'!$A$27:$AG$123,G$137,FALSE)</f>
        <v>113</v>
      </c>
      <c r="H188" s="10"/>
      <c r="I188"/>
      <c r="J188"/>
      <c r="K188"/>
    </row>
    <row r="189" spans="1:11" ht="15">
      <c r="A189" s="17" t="s">
        <v>174</v>
      </c>
      <c r="B189" s="18">
        <f>VLOOKUP(Vlookup!$B154,'CDCM Volume Forecasts'!$A$27:$AG$123,B$137,FALSE)</f>
        <v>0</v>
      </c>
      <c r="C189" s="18">
        <f>VLOOKUP(Vlookup!$B154,'CDCM Volume Forecasts'!$A$27:$AG$123,C$137,FALSE)</f>
        <v>0</v>
      </c>
      <c r="D189" s="18">
        <f>VLOOKUP(Vlookup!$B154,'CDCM Volume Forecasts'!$A$27:$AG$123,D$137,FALSE)</f>
        <v>0</v>
      </c>
      <c r="E189" s="18">
        <f>VLOOKUP(Vlookup!$B154,'CDCM Volume Forecasts'!$A$27:$AG$123,E$137,FALSE)</f>
        <v>0</v>
      </c>
      <c r="F189" s="18">
        <f>VLOOKUP(Vlookup!$B154,'CDCM Volume Forecasts'!$A$27:$AG$123,F$137,FALSE)</f>
        <v>0</v>
      </c>
      <c r="G189" s="18">
        <f>VLOOKUP(Vlookup!$B154,'CDCM Volume Forecasts'!$A$27:$AG$123,G$137,FALSE)</f>
        <v>0</v>
      </c>
      <c r="H189" s="10"/>
      <c r="I189"/>
      <c r="J189"/>
      <c r="K189"/>
    </row>
    <row r="190" spans="1:11" ht="15">
      <c r="A190" s="11" t="s">
        <v>111</v>
      </c>
      <c r="B190" s="4">
        <f>VLOOKUP(Vlookup!$B155,'CDCM Volume Forecasts'!$A$27:$AG$123,B$137,FALSE)</f>
        <v>168212.60808699948</v>
      </c>
      <c r="C190" s="4">
        <f>VLOOKUP(Vlookup!$B155,'CDCM Volume Forecasts'!$A$27:$AG$123,C$137,FALSE)</f>
        <v>1015521.4628002136</v>
      </c>
      <c r="D190" s="4">
        <f>VLOOKUP(Vlookup!$B155,'CDCM Volume Forecasts'!$A$27:$AG$123,D$137,FALSE)</f>
        <v>952719.56575802783</v>
      </c>
      <c r="E190" s="14">
        <f>VLOOKUP(Vlookup!$B155,'CDCM Volume Forecasts'!$A$27:$AG$123,E$137,FALSE)</f>
        <v>595</v>
      </c>
      <c r="F190" s="14">
        <f>VLOOKUP(Vlookup!$B155,'CDCM Volume Forecasts'!$A$27:$AG$123,F$137,FALSE)</f>
        <v>696791</v>
      </c>
      <c r="G190" s="4">
        <f>VLOOKUP(Vlookup!$B155,'CDCM Volume Forecasts'!$A$27:$AG$123,G$137,FALSE)</f>
        <v>160841</v>
      </c>
      <c r="H190" s="10"/>
      <c r="I190"/>
      <c r="J190"/>
      <c r="K190"/>
    </row>
    <row r="191" spans="1:11" ht="15">
      <c r="A191" s="11" t="s">
        <v>175</v>
      </c>
      <c r="B191" s="4">
        <f>VLOOKUP(Vlookup!$B156,'CDCM Volume Forecasts'!$A$27:$AG$123,B$137,FALSE)</f>
        <v>687.38919403029763</v>
      </c>
      <c r="C191" s="4">
        <f>VLOOKUP(Vlookup!$B156,'CDCM Volume Forecasts'!$A$27:$AG$123,C$137,FALSE)</f>
        <v>3897.128225748751</v>
      </c>
      <c r="D191" s="4">
        <f>VLOOKUP(Vlookup!$B156,'CDCM Volume Forecasts'!$A$27:$AG$123,D$137,FALSE)</f>
        <v>3071.0997928152483</v>
      </c>
      <c r="E191" s="14">
        <f>VLOOKUP(Vlookup!$B156,'CDCM Volume Forecasts'!$A$27:$AG$123,E$137,FALSE)</f>
        <v>5</v>
      </c>
      <c r="F191" s="14">
        <f>VLOOKUP(Vlookup!$B156,'CDCM Volume Forecasts'!$A$27:$AG$123,F$137,FALSE)</f>
        <v>4903</v>
      </c>
      <c r="G191" s="4">
        <f>VLOOKUP(Vlookup!$B156,'CDCM Volume Forecasts'!$A$27:$AG$123,G$137,FALSE)</f>
        <v>358</v>
      </c>
      <c r="H191" s="10"/>
      <c r="I191"/>
      <c r="J191"/>
      <c r="K191"/>
    </row>
    <row r="192" spans="1:11" ht="15">
      <c r="A192" s="17" t="s">
        <v>176</v>
      </c>
      <c r="B192" s="18">
        <f>VLOOKUP(Vlookup!$B157,'CDCM Volume Forecasts'!$A$27:$AG$123,B$137,FALSE)</f>
        <v>0</v>
      </c>
      <c r="C192" s="18">
        <f>VLOOKUP(Vlookup!$B157,'CDCM Volume Forecasts'!$A$27:$AG$123,C$137,FALSE)</f>
        <v>0</v>
      </c>
      <c r="D192" s="18">
        <f>VLOOKUP(Vlookup!$B157,'CDCM Volume Forecasts'!$A$27:$AG$123,D$137,FALSE)</f>
        <v>0</v>
      </c>
      <c r="E192" s="18">
        <f>VLOOKUP(Vlookup!$B157,'CDCM Volume Forecasts'!$A$27:$AG$123,E$137,FALSE)</f>
        <v>0</v>
      </c>
      <c r="F192" s="18">
        <f>VLOOKUP(Vlookup!$B157,'CDCM Volume Forecasts'!$A$27:$AG$123,F$137,FALSE)</f>
        <v>0</v>
      </c>
      <c r="G192" s="18">
        <f>VLOOKUP(Vlookup!$B157,'CDCM Volume Forecasts'!$A$27:$AG$123,G$137,FALSE)</f>
        <v>0</v>
      </c>
      <c r="H192" s="10"/>
      <c r="I192"/>
      <c r="J192"/>
      <c r="K192"/>
    </row>
    <row r="193" spans="1:11" ht="15">
      <c r="A193" s="11" t="s">
        <v>131</v>
      </c>
      <c r="B193" s="4">
        <f>VLOOKUP(Vlookup!$B158,'CDCM Volume Forecasts'!$A$27:$AG$123,B$137,FALSE)</f>
        <v>7597.2957335261272</v>
      </c>
      <c r="C193" s="8">
        <f>VLOOKUP(Vlookup!$B158,'CDCM Volume Forecasts'!$A$27:$AG$123,C$137,FALSE)</f>
        <v>0</v>
      </c>
      <c r="D193" s="8">
        <f>VLOOKUP(Vlookup!$B158,'CDCM Volume Forecasts'!$A$27:$AG$123,D$137,FALSE)</f>
        <v>0</v>
      </c>
      <c r="E193" s="14">
        <f>VLOOKUP(Vlookup!$B158,'CDCM Volume Forecasts'!$A$27:$AG$123,E$137,FALSE)</f>
        <v>514</v>
      </c>
      <c r="F193" s="8">
        <f>VLOOKUP(Vlookup!$B158,'CDCM Volume Forecasts'!$A$27:$AG$123,F$137,FALSE)</f>
        <v>0</v>
      </c>
      <c r="G193" s="8">
        <f>VLOOKUP(Vlookup!$B158,'CDCM Volume Forecasts'!$A$27:$AG$123,G$137,FALSE)</f>
        <v>0</v>
      </c>
      <c r="H193" s="10"/>
      <c r="I193"/>
      <c r="J193"/>
      <c r="K193"/>
    </row>
    <row r="194" spans="1:11" ht="15">
      <c r="A194" s="11" t="s">
        <v>177</v>
      </c>
      <c r="B194" s="4">
        <f>VLOOKUP(Vlookup!$B159,'CDCM Volume Forecasts'!$A$27:$AG$123,B$137,FALSE)</f>
        <v>38.57379559770618</v>
      </c>
      <c r="C194" s="8">
        <f>VLOOKUP(Vlookup!$B159,'CDCM Volume Forecasts'!$A$27:$AG$123,C$137,FALSE)</f>
        <v>0</v>
      </c>
      <c r="D194" s="8">
        <f>VLOOKUP(Vlookup!$B159,'CDCM Volume Forecasts'!$A$27:$AG$123,D$137,FALSE)</f>
        <v>0</v>
      </c>
      <c r="E194" s="14">
        <f>VLOOKUP(Vlookup!$B159,'CDCM Volume Forecasts'!$A$27:$AG$123,E$137,FALSE)</f>
        <v>0</v>
      </c>
      <c r="F194" s="8">
        <f>VLOOKUP(Vlookup!$B159,'CDCM Volume Forecasts'!$A$27:$AG$123,F$137,FALSE)</f>
        <v>0</v>
      </c>
      <c r="G194" s="8">
        <f>VLOOKUP(Vlookup!$B159,'CDCM Volume Forecasts'!$A$27:$AG$123,G$137,FALSE)</f>
        <v>0</v>
      </c>
      <c r="H194" s="10"/>
      <c r="I194"/>
      <c r="J194"/>
      <c r="K194"/>
    </row>
    <row r="195" spans="1:11" ht="15">
      <c r="A195" s="11" t="s">
        <v>178</v>
      </c>
      <c r="B195" s="4">
        <f>VLOOKUP(Vlookup!$B160,'CDCM Volume Forecasts'!$A$27:$AG$123,B$137,FALSE)</f>
        <v>180.42533538088671</v>
      </c>
      <c r="C195" s="8">
        <f>VLOOKUP(Vlookup!$B160,'CDCM Volume Forecasts'!$A$27:$AG$123,C$137,FALSE)</f>
        <v>0</v>
      </c>
      <c r="D195" s="8">
        <f>VLOOKUP(Vlookup!$B160,'CDCM Volume Forecasts'!$A$27:$AG$123,D$137,FALSE)</f>
        <v>0</v>
      </c>
      <c r="E195" s="14">
        <f>VLOOKUP(Vlookup!$B160,'CDCM Volume Forecasts'!$A$27:$AG$123,E$137,FALSE)</f>
        <v>0</v>
      </c>
      <c r="F195" s="8">
        <f>VLOOKUP(Vlookup!$B160,'CDCM Volume Forecasts'!$A$27:$AG$123,F$137,FALSE)</f>
        <v>0</v>
      </c>
      <c r="G195" s="8">
        <f>VLOOKUP(Vlookup!$B160,'CDCM Volume Forecasts'!$A$27:$AG$123,G$137,FALSE)</f>
        <v>0</v>
      </c>
      <c r="H195" s="10"/>
      <c r="I195"/>
      <c r="J195"/>
      <c r="K195"/>
    </row>
    <row r="196" spans="1:11" ht="15">
      <c r="A196" s="17" t="s">
        <v>179</v>
      </c>
      <c r="B196" s="18">
        <f>VLOOKUP(Vlookup!$B161,'CDCM Volume Forecasts'!$A$27:$AG$123,B$137,FALSE)</f>
        <v>0</v>
      </c>
      <c r="C196" s="18">
        <f>VLOOKUP(Vlookup!$B161,'CDCM Volume Forecasts'!$A$27:$AG$123,C$137,FALSE)</f>
        <v>0</v>
      </c>
      <c r="D196" s="18">
        <f>VLOOKUP(Vlookup!$B161,'CDCM Volume Forecasts'!$A$27:$AG$123,D$137,FALSE)</f>
        <v>0</v>
      </c>
      <c r="E196" s="18">
        <f>VLOOKUP(Vlookup!$B161,'CDCM Volume Forecasts'!$A$27:$AG$123,E$137,FALSE)</f>
        <v>0</v>
      </c>
      <c r="F196" s="18">
        <f>VLOOKUP(Vlookup!$B161,'CDCM Volume Forecasts'!$A$27:$AG$123,F$137,FALSE)</f>
        <v>0</v>
      </c>
      <c r="G196" s="18">
        <f>VLOOKUP(Vlookup!$B161,'CDCM Volume Forecasts'!$A$27:$AG$123,G$137,FALSE)</f>
        <v>0</v>
      </c>
      <c r="H196" s="10"/>
      <c r="I196"/>
      <c r="J196"/>
      <c r="K196"/>
    </row>
    <row r="197" spans="1:11" ht="15">
      <c r="A197" s="11" t="s">
        <v>132</v>
      </c>
      <c r="B197" s="4">
        <f>VLOOKUP(Vlookup!$B162,'CDCM Volume Forecasts'!$A$27:$AG$123,B$137,FALSE)</f>
        <v>5952.5744876907111</v>
      </c>
      <c r="C197" s="8">
        <f>VLOOKUP(Vlookup!$B162,'CDCM Volume Forecasts'!$A$27:$AG$123,C$137,FALSE)</f>
        <v>0</v>
      </c>
      <c r="D197" s="8">
        <f>VLOOKUP(Vlookup!$B162,'CDCM Volume Forecasts'!$A$27:$AG$123,D$137,FALSE)</f>
        <v>0</v>
      </c>
      <c r="E197" s="14">
        <f>VLOOKUP(Vlookup!$B162,'CDCM Volume Forecasts'!$A$27:$AG$123,E$137,FALSE)</f>
        <v>749</v>
      </c>
      <c r="F197" s="8">
        <f>VLOOKUP(Vlookup!$B162,'CDCM Volume Forecasts'!$A$27:$AG$123,F$137,FALSE)</f>
        <v>0</v>
      </c>
      <c r="G197" s="8">
        <f>VLOOKUP(Vlookup!$B162,'CDCM Volume Forecasts'!$A$27:$AG$123,G$137,FALSE)</f>
        <v>0</v>
      </c>
      <c r="H197" s="10"/>
      <c r="I197"/>
      <c r="J197"/>
      <c r="K197"/>
    </row>
    <row r="198" spans="1:11" ht="15">
      <c r="A198" s="11" t="s">
        <v>180</v>
      </c>
      <c r="B198" s="4">
        <f>VLOOKUP(Vlookup!$B163,'CDCM Volume Forecasts'!$A$27:$AG$123,B$137,FALSE)</f>
        <v>5.4179338644077735</v>
      </c>
      <c r="C198" s="8">
        <f>VLOOKUP(Vlookup!$B163,'CDCM Volume Forecasts'!$A$27:$AG$123,C$137,FALSE)</f>
        <v>0</v>
      </c>
      <c r="D198" s="8">
        <f>VLOOKUP(Vlookup!$B163,'CDCM Volume Forecasts'!$A$27:$AG$123,D$137,FALSE)</f>
        <v>0</v>
      </c>
      <c r="E198" s="14">
        <f>VLOOKUP(Vlookup!$B163,'CDCM Volume Forecasts'!$A$27:$AG$123,E$137,FALSE)</f>
        <v>0</v>
      </c>
      <c r="F198" s="8">
        <f>VLOOKUP(Vlookup!$B163,'CDCM Volume Forecasts'!$A$27:$AG$123,F$137,FALSE)</f>
        <v>0</v>
      </c>
      <c r="G198" s="8">
        <f>VLOOKUP(Vlookup!$B163,'CDCM Volume Forecasts'!$A$27:$AG$123,G$137,FALSE)</f>
        <v>0</v>
      </c>
      <c r="H198" s="10"/>
      <c r="I198"/>
      <c r="J198"/>
      <c r="K198"/>
    </row>
    <row r="199" spans="1:11" ht="15">
      <c r="A199" s="11" t="s">
        <v>181</v>
      </c>
      <c r="B199" s="4">
        <f>VLOOKUP(Vlookup!$B164,'CDCM Volume Forecasts'!$A$27:$AG$123,B$137,FALSE)</f>
        <v>258.82704553611961</v>
      </c>
      <c r="C199" s="8">
        <f>VLOOKUP(Vlookup!$B164,'CDCM Volume Forecasts'!$A$27:$AG$123,C$137,FALSE)</f>
        <v>0</v>
      </c>
      <c r="D199" s="8">
        <f>VLOOKUP(Vlookup!$B164,'CDCM Volume Forecasts'!$A$27:$AG$123,D$137,FALSE)</f>
        <v>0</v>
      </c>
      <c r="E199" s="14">
        <f>VLOOKUP(Vlookup!$B164,'CDCM Volume Forecasts'!$A$27:$AG$123,E$137,FALSE)</f>
        <v>0</v>
      </c>
      <c r="F199" s="8">
        <f>VLOOKUP(Vlookup!$B164,'CDCM Volume Forecasts'!$A$27:$AG$123,F$137,FALSE)</f>
        <v>0</v>
      </c>
      <c r="G199" s="8">
        <f>VLOOKUP(Vlookup!$B164,'CDCM Volume Forecasts'!$A$27:$AG$123,G$137,FALSE)</f>
        <v>0</v>
      </c>
      <c r="H199" s="10"/>
      <c r="I199"/>
      <c r="J199"/>
      <c r="K199"/>
    </row>
    <row r="200" spans="1:11" ht="15">
      <c r="A200" s="17" t="s">
        <v>182</v>
      </c>
      <c r="B200" s="18">
        <f>VLOOKUP(Vlookup!$B165,'CDCM Volume Forecasts'!$A$27:$AG$123,B$137,FALSE)</f>
        <v>0</v>
      </c>
      <c r="C200" s="18">
        <f>VLOOKUP(Vlookup!$B165,'CDCM Volume Forecasts'!$A$27:$AG$123,C$137,FALSE)</f>
        <v>0</v>
      </c>
      <c r="D200" s="18">
        <f>VLOOKUP(Vlookup!$B165,'CDCM Volume Forecasts'!$A$27:$AG$123,D$137,FALSE)</f>
        <v>0</v>
      </c>
      <c r="E200" s="18">
        <f>VLOOKUP(Vlookup!$B165,'CDCM Volume Forecasts'!$A$27:$AG$123,E$137,FALSE)</f>
        <v>0</v>
      </c>
      <c r="F200" s="18">
        <f>VLOOKUP(Vlookup!$B165,'CDCM Volume Forecasts'!$A$27:$AG$123,F$137,FALSE)</f>
        <v>0</v>
      </c>
      <c r="G200" s="18">
        <f>VLOOKUP(Vlookup!$B165,'CDCM Volume Forecasts'!$A$27:$AG$123,G$137,FALSE)</f>
        <v>0</v>
      </c>
      <c r="H200" s="10"/>
      <c r="I200"/>
      <c r="J200"/>
      <c r="K200"/>
    </row>
    <row r="201" spans="1:11" ht="15">
      <c r="A201" s="11" t="s">
        <v>133</v>
      </c>
      <c r="B201" s="4">
        <f>VLOOKUP(Vlookup!$B166,'CDCM Volume Forecasts'!$A$27:$AG$123,B$137,FALSE)</f>
        <v>378.27038018128798</v>
      </c>
      <c r="C201" s="8">
        <f>VLOOKUP(Vlookup!$B166,'CDCM Volume Forecasts'!$A$27:$AG$123,C$137,FALSE)</f>
        <v>0</v>
      </c>
      <c r="D201" s="8">
        <f>VLOOKUP(Vlookup!$B166,'CDCM Volume Forecasts'!$A$27:$AG$123,D$137,FALSE)</f>
        <v>0</v>
      </c>
      <c r="E201" s="14">
        <f>VLOOKUP(Vlookup!$B166,'CDCM Volume Forecasts'!$A$27:$AG$123,E$137,FALSE)</f>
        <v>84</v>
      </c>
      <c r="F201" s="8">
        <f>VLOOKUP(Vlookup!$B166,'CDCM Volume Forecasts'!$A$27:$AG$123,F$137,FALSE)</f>
        <v>0</v>
      </c>
      <c r="G201" s="8">
        <f>VLOOKUP(Vlookup!$B166,'CDCM Volume Forecasts'!$A$27:$AG$123,G$137,FALSE)</f>
        <v>0</v>
      </c>
      <c r="H201" s="10"/>
      <c r="I201"/>
      <c r="J201"/>
      <c r="K201"/>
    </row>
    <row r="202" spans="1:11" ht="15">
      <c r="A202" s="11" t="s">
        <v>183</v>
      </c>
      <c r="B202" s="4">
        <f>VLOOKUP(Vlookup!$B167,'CDCM Volume Forecasts'!$A$27:$AG$123,B$137,FALSE)</f>
        <v>0</v>
      </c>
      <c r="C202" s="8">
        <f>VLOOKUP(Vlookup!$B167,'CDCM Volume Forecasts'!$A$27:$AG$123,C$137,FALSE)</f>
        <v>0</v>
      </c>
      <c r="D202" s="8">
        <f>VLOOKUP(Vlookup!$B167,'CDCM Volume Forecasts'!$A$27:$AG$123,D$137,FALSE)</f>
        <v>0</v>
      </c>
      <c r="E202" s="14">
        <f>VLOOKUP(Vlookup!$B167,'CDCM Volume Forecasts'!$A$27:$AG$123,E$137,FALSE)</f>
        <v>0</v>
      </c>
      <c r="F202" s="8">
        <f>VLOOKUP(Vlookup!$B167,'CDCM Volume Forecasts'!$A$27:$AG$123,F$137,FALSE)</f>
        <v>0</v>
      </c>
      <c r="G202" s="8">
        <f>VLOOKUP(Vlookup!$B167,'CDCM Volume Forecasts'!$A$27:$AG$123,G$137,FALSE)</f>
        <v>0</v>
      </c>
      <c r="H202" s="10"/>
      <c r="I202"/>
      <c r="J202"/>
      <c r="K202"/>
    </row>
    <row r="203" spans="1:11" ht="15">
      <c r="A203" s="11" t="s">
        <v>184</v>
      </c>
      <c r="B203" s="4">
        <f>VLOOKUP(Vlookup!$B168,'CDCM Volume Forecasts'!$A$27:$AG$123,B$137,FALSE)</f>
        <v>0</v>
      </c>
      <c r="C203" s="8">
        <f>VLOOKUP(Vlookup!$B168,'CDCM Volume Forecasts'!$A$27:$AG$123,C$137,FALSE)</f>
        <v>0</v>
      </c>
      <c r="D203" s="8">
        <f>VLOOKUP(Vlookup!$B168,'CDCM Volume Forecasts'!$A$27:$AG$123,D$137,FALSE)</f>
        <v>0</v>
      </c>
      <c r="E203" s="14">
        <f>VLOOKUP(Vlookup!$B168,'CDCM Volume Forecasts'!$A$27:$AG$123,E$137,FALSE)</f>
        <v>0</v>
      </c>
      <c r="F203" s="8">
        <f>VLOOKUP(Vlookup!$B168,'CDCM Volume Forecasts'!$A$27:$AG$123,F$137,FALSE)</f>
        <v>0</v>
      </c>
      <c r="G203" s="8">
        <f>VLOOKUP(Vlookup!$B168,'CDCM Volume Forecasts'!$A$27:$AG$123,G$137,FALSE)</f>
        <v>0</v>
      </c>
      <c r="H203" s="10"/>
      <c r="I203"/>
      <c r="J203"/>
      <c r="K203"/>
    </row>
    <row r="204" spans="1:11" ht="15">
      <c r="A204" s="17" t="s">
        <v>185</v>
      </c>
      <c r="B204" s="18">
        <f>VLOOKUP(Vlookup!$B169,'CDCM Volume Forecasts'!$A$27:$AG$123,B$137,FALSE)</f>
        <v>0</v>
      </c>
      <c r="C204" s="18">
        <f>VLOOKUP(Vlookup!$B169,'CDCM Volume Forecasts'!$A$27:$AG$123,C$137,FALSE)</f>
        <v>0</v>
      </c>
      <c r="D204" s="18">
        <f>VLOOKUP(Vlookup!$B169,'CDCM Volume Forecasts'!$A$27:$AG$123,D$137,FALSE)</f>
        <v>0</v>
      </c>
      <c r="E204" s="18">
        <f>VLOOKUP(Vlookup!$B169,'CDCM Volume Forecasts'!$A$27:$AG$123,E$137,FALSE)</f>
        <v>0</v>
      </c>
      <c r="F204" s="18">
        <f>VLOOKUP(Vlookup!$B169,'CDCM Volume Forecasts'!$A$27:$AG$123,F$137,FALSE)</f>
        <v>0</v>
      </c>
      <c r="G204" s="18">
        <f>VLOOKUP(Vlookup!$B169,'CDCM Volume Forecasts'!$A$27:$AG$123,G$137,FALSE)</f>
        <v>0</v>
      </c>
      <c r="H204" s="10"/>
      <c r="I204"/>
      <c r="J204"/>
      <c r="K204"/>
    </row>
    <row r="205" spans="1:11" ht="15">
      <c r="A205" s="11" t="s">
        <v>134</v>
      </c>
      <c r="B205" s="4">
        <f>VLOOKUP(Vlookup!$B170,'CDCM Volume Forecasts'!$A$27:$AG$123,B$137,FALSE)</f>
        <v>0</v>
      </c>
      <c r="C205" s="8">
        <f>VLOOKUP(Vlookup!$B170,'CDCM Volume Forecasts'!$A$27:$AG$123,C$137,FALSE)</f>
        <v>0</v>
      </c>
      <c r="D205" s="8">
        <f>VLOOKUP(Vlookup!$B170,'CDCM Volume Forecasts'!$A$27:$AG$123,D$137,FALSE)</f>
        <v>0</v>
      </c>
      <c r="E205" s="14">
        <f>VLOOKUP(Vlookup!$B170,'CDCM Volume Forecasts'!$A$27:$AG$123,E$137,FALSE)</f>
        <v>1</v>
      </c>
      <c r="F205" s="8">
        <f>VLOOKUP(Vlookup!$B170,'CDCM Volume Forecasts'!$A$27:$AG$123,F$137,FALSE)</f>
        <v>0</v>
      </c>
      <c r="G205" s="8">
        <f>VLOOKUP(Vlookup!$B170,'CDCM Volume Forecasts'!$A$27:$AG$123,G$137,FALSE)</f>
        <v>0</v>
      </c>
      <c r="H205" s="10"/>
      <c r="I205"/>
      <c r="J205"/>
      <c r="K205"/>
    </row>
    <row r="206" spans="1:11" ht="15">
      <c r="A206" s="11" t="s">
        <v>186</v>
      </c>
      <c r="B206" s="4">
        <f>VLOOKUP(Vlookup!$B171,'CDCM Volume Forecasts'!$A$27:$AG$123,B$137,FALSE)</f>
        <v>0</v>
      </c>
      <c r="C206" s="8">
        <f>VLOOKUP(Vlookup!$B171,'CDCM Volume Forecasts'!$A$27:$AG$123,C$137,FALSE)</f>
        <v>0</v>
      </c>
      <c r="D206" s="8">
        <f>VLOOKUP(Vlookup!$B171,'CDCM Volume Forecasts'!$A$27:$AG$123,D$137,FALSE)</f>
        <v>0</v>
      </c>
      <c r="E206" s="14">
        <f>VLOOKUP(Vlookup!$B171,'CDCM Volume Forecasts'!$A$27:$AG$123,E$137,FALSE)</f>
        <v>0</v>
      </c>
      <c r="F206" s="8">
        <f>VLOOKUP(Vlookup!$B171,'CDCM Volume Forecasts'!$A$27:$AG$123,F$137,FALSE)</f>
        <v>0</v>
      </c>
      <c r="G206" s="8">
        <f>VLOOKUP(Vlookup!$B171,'CDCM Volume Forecasts'!$A$27:$AG$123,G$137,FALSE)</f>
        <v>0</v>
      </c>
      <c r="H206" s="10"/>
      <c r="I206"/>
      <c r="J206"/>
      <c r="K206"/>
    </row>
    <row r="207" spans="1:11" ht="15">
      <c r="A207" s="11" t="s">
        <v>187</v>
      </c>
      <c r="B207" s="4">
        <f>VLOOKUP(Vlookup!$B172,'CDCM Volume Forecasts'!$A$27:$AG$123,B$137,FALSE)</f>
        <v>0</v>
      </c>
      <c r="C207" s="8">
        <f>VLOOKUP(Vlookup!$B172,'CDCM Volume Forecasts'!$A$27:$AG$123,C$137,FALSE)</f>
        <v>0</v>
      </c>
      <c r="D207" s="8">
        <f>VLOOKUP(Vlookup!$B172,'CDCM Volume Forecasts'!$A$27:$AG$123,D$137,FALSE)</f>
        <v>0</v>
      </c>
      <c r="E207" s="14">
        <f>VLOOKUP(Vlookup!$B172,'CDCM Volume Forecasts'!$A$27:$AG$123,E$137,FALSE)</f>
        <v>0</v>
      </c>
      <c r="F207" s="8">
        <f>VLOOKUP(Vlookup!$B172,'CDCM Volume Forecasts'!$A$27:$AG$123,F$137,FALSE)</f>
        <v>0</v>
      </c>
      <c r="G207" s="8">
        <f>VLOOKUP(Vlookup!$B172,'CDCM Volume Forecasts'!$A$27:$AG$123,G$137,FALSE)</f>
        <v>0</v>
      </c>
      <c r="H207" s="10"/>
      <c r="I207"/>
      <c r="J207"/>
      <c r="K207"/>
    </row>
    <row r="208" spans="1:11" ht="15">
      <c r="A208" s="17" t="s">
        <v>188</v>
      </c>
      <c r="B208" s="18">
        <f>VLOOKUP(Vlookup!$B173,'CDCM Volume Forecasts'!$A$27:$AG$123,B$137,FALSE)</f>
        <v>0</v>
      </c>
      <c r="C208" s="18">
        <f>VLOOKUP(Vlookup!$B173,'CDCM Volume Forecasts'!$A$27:$AG$123,C$137,FALSE)</f>
        <v>0</v>
      </c>
      <c r="D208" s="18">
        <f>VLOOKUP(Vlookup!$B173,'CDCM Volume Forecasts'!$A$27:$AG$123,D$137,FALSE)</f>
        <v>0</v>
      </c>
      <c r="E208" s="18">
        <f>VLOOKUP(Vlookup!$B173,'CDCM Volume Forecasts'!$A$27:$AG$123,E$137,FALSE)</f>
        <v>0</v>
      </c>
      <c r="F208" s="18">
        <f>VLOOKUP(Vlookup!$B173,'CDCM Volume Forecasts'!$A$27:$AG$123,F$137,FALSE)</f>
        <v>0</v>
      </c>
      <c r="G208" s="18">
        <f>VLOOKUP(Vlookup!$B173,'CDCM Volume Forecasts'!$A$27:$AG$123,G$137,FALSE)</f>
        <v>0</v>
      </c>
      <c r="H208" s="10"/>
      <c r="I208"/>
      <c r="J208"/>
      <c r="K208"/>
    </row>
    <row r="209" spans="1:11" ht="15">
      <c r="A209" s="11" t="s">
        <v>135</v>
      </c>
      <c r="B209" s="4">
        <f>VLOOKUP(Vlookup!$B174,'CDCM Volume Forecasts'!$A$27:$AG$123,B$137,FALSE)</f>
        <v>6228.0959976775684</v>
      </c>
      <c r="C209" s="4">
        <f>VLOOKUP(Vlookup!$B174,'CDCM Volume Forecasts'!$A$27:$AG$123,C$137,FALSE)</f>
        <v>35918.74585465651</v>
      </c>
      <c r="D209" s="4">
        <f>VLOOKUP(Vlookup!$B174,'CDCM Volume Forecasts'!$A$27:$AG$123,D$137,FALSE)</f>
        <v>102458.54632787764</v>
      </c>
      <c r="E209" s="14">
        <f>VLOOKUP(Vlookup!$B174,'CDCM Volume Forecasts'!$A$27:$AG$123,E$137,FALSE)</f>
        <v>26</v>
      </c>
      <c r="F209" s="8">
        <f>VLOOKUP(Vlookup!$B174,'CDCM Volume Forecasts'!$A$27:$AG$123,F$137,FALSE)</f>
        <v>0</v>
      </c>
      <c r="G209" s="8">
        <f>VLOOKUP(Vlookup!$B174,'CDCM Volume Forecasts'!$A$27:$AG$123,G$137,FALSE)</f>
        <v>0</v>
      </c>
      <c r="H209" s="10"/>
      <c r="I209"/>
      <c r="J209"/>
      <c r="K209"/>
    </row>
    <row r="210" spans="1:11" ht="15">
      <c r="A210" s="11" t="s">
        <v>189</v>
      </c>
      <c r="B210" s="4">
        <f>VLOOKUP(Vlookup!$B175,'CDCM Volume Forecasts'!$A$27:$AG$123,B$137,FALSE)</f>
        <v>0</v>
      </c>
      <c r="C210" s="4">
        <f>VLOOKUP(Vlookup!$B175,'CDCM Volume Forecasts'!$A$27:$AG$123,C$137,FALSE)</f>
        <v>0</v>
      </c>
      <c r="D210" s="4">
        <f>VLOOKUP(Vlookup!$B175,'CDCM Volume Forecasts'!$A$27:$AG$123,D$137,FALSE)</f>
        <v>0</v>
      </c>
      <c r="E210" s="14">
        <f>VLOOKUP(Vlookup!$B175,'CDCM Volume Forecasts'!$A$27:$AG$123,E$137,FALSE)</f>
        <v>0</v>
      </c>
      <c r="F210" s="8">
        <f>VLOOKUP(Vlookup!$B175,'CDCM Volume Forecasts'!$A$27:$AG$123,F$137,FALSE)</f>
        <v>0</v>
      </c>
      <c r="G210" s="8">
        <f>VLOOKUP(Vlookup!$B175,'CDCM Volume Forecasts'!$A$27:$AG$123,G$137,FALSE)</f>
        <v>0</v>
      </c>
      <c r="H210" s="10"/>
      <c r="I210"/>
      <c r="J210"/>
      <c r="K210"/>
    </row>
    <row r="211" spans="1:11" ht="15">
      <c r="A211" s="11" t="s">
        <v>190</v>
      </c>
      <c r="B211" s="4">
        <f>VLOOKUP(Vlookup!$B176,'CDCM Volume Forecasts'!$A$27:$AG$123,B$137,FALSE)</f>
        <v>0</v>
      </c>
      <c r="C211" s="4">
        <f>VLOOKUP(Vlookup!$B176,'CDCM Volume Forecasts'!$A$27:$AG$123,C$137,FALSE)</f>
        <v>0</v>
      </c>
      <c r="D211" s="4">
        <f>VLOOKUP(Vlookup!$B176,'CDCM Volume Forecasts'!$A$27:$AG$123,D$137,FALSE)</f>
        <v>0</v>
      </c>
      <c r="E211" s="14">
        <f>VLOOKUP(Vlookup!$B176,'CDCM Volume Forecasts'!$A$27:$AG$123,E$137,FALSE)</f>
        <v>0</v>
      </c>
      <c r="F211" s="8">
        <f>VLOOKUP(Vlookup!$B176,'CDCM Volume Forecasts'!$A$27:$AG$123,F$137,FALSE)</f>
        <v>0</v>
      </c>
      <c r="G211" s="8">
        <f>VLOOKUP(Vlookup!$B176,'CDCM Volume Forecasts'!$A$27:$AG$123,G$137,FALSE)</f>
        <v>0</v>
      </c>
      <c r="H211" s="10"/>
      <c r="I211"/>
      <c r="J211"/>
      <c r="K211"/>
    </row>
    <row r="212" spans="1:11" ht="15">
      <c r="A212" s="17" t="s">
        <v>1648</v>
      </c>
      <c r="B212" s="18">
        <f>VLOOKUP(Vlookup!$B177,'CDCM Volume Forecasts'!$A$27:$AG$123,B$137,FALSE)</f>
        <v>0</v>
      </c>
      <c r="C212" s="18">
        <f>VLOOKUP(Vlookup!$B177,'CDCM Volume Forecasts'!$A$27:$AG$123,C$137,FALSE)</f>
        <v>0</v>
      </c>
      <c r="D212" s="18">
        <f>VLOOKUP(Vlookup!$B177,'CDCM Volume Forecasts'!$A$27:$AG$123,D$137,FALSE)</f>
        <v>0</v>
      </c>
      <c r="E212" s="18">
        <f>VLOOKUP(Vlookup!$B177,'CDCM Volume Forecasts'!$A$27:$AG$123,E$137,FALSE)</f>
        <v>0</v>
      </c>
      <c r="F212" s="18">
        <f>VLOOKUP(Vlookup!$B177,'CDCM Volume Forecasts'!$A$27:$AG$123,F$137,FALSE)</f>
        <v>0</v>
      </c>
      <c r="G212" s="18">
        <f>VLOOKUP(Vlookup!$B177,'CDCM Volume Forecasts'!$A$27:$AG$123,G$137,FALSE)</f>
        <v>0</v>
      </c>
      <c r="H212" s="10"/>
      <c r="I212"/>
      <c r="J212"/>
      <c r="K212"/>
    </row>
    <row r="213" spans="1:11" ht="15">
      <c r="A213" s="11" t="s">
        <v>1645</v>
      </c>
      <c r="B213" s="4">
        <f>VLOOKUP(Vlookup!$B178,'CDCM Volume Forecasts'!$A$27:$AG$123,B$137,FALSE)</f>
        <v>602.29748729184382</v>
      </c>
      <c r="C213" s="8">
        <f>VLOOKUP(Vlookup!$B178,'CDCM Volume Forecasts'!$A$27:$AG$123,C$137,FALSE)</f>
        <v>0</v>
      </c>
      <c r="D213" s="8">
        <f>VLOOKUP(Vlookup!$B178,'CDCM Volume Forecasts'!$A$27:$AG$123,D$137,FALSE)</f>
        <v>0</v>
      </c>
      <c r="E213" s="14">
        <f>VLOOKUP(Vlookup!$B178,'CDCM Volume Forecasts'!$A$27:$AG$123,E$137,FALSE)</f>
        <v>130</v>
      </c>
      <c r="F213" s="8">
        <f>VLOOKUP(Vlookup!$B178,'CDCM Volume Forecasts'!$A$27:$AG$123,F$137,FALSE)</f>
        <v>0</v>
      </c>
      <c r="G213" s="8">
        <f>VLOOKUP(Vlookup!$B178,'CDCM Volume Forecasts'!$A$27:$AG$123,G$137,FALSE)</f>
        <v>0</v>
      </c>
      <c r="H213" s="10"/>
      <c r="I213"/>
      <c r="J213"/>
      <c r="K213"/>
    </row>
    <row r="214" spans="1:11" ht="15">
      <c r="A214" s="11" t="s">
        <v>1642</v>
      </c>
      <c r="B214" s="4">
        <f>VLOOKUP(Vlookup!$B179,'CDCM Volume Forecasts'!$A$27:$AG$123,B$137,FALSE)</f>
        <v>0</v>
      </c>
      <c r="C214" s="8">
        <f>VLOOKUP(Vlookup!$B179,'CDCM Volume Forecasts'!$A$27:$AG$123,C$137,FALSE)</f>
        <v>0</v>
      </c>
      <c r="D214" s="8">
        <f>VLOOKUP(Vlookup!$B179,'CDCM Volume Forecasts'!$A$27:$AG$123,D$137,FALSE)</f>
        <v>0</v>
      </c>
      <c r="E214" s="14">
        <f>VLOOKUP(Vlookup!$B179,'CDCM Volume Forecasts'!$A$27:$AG$123,E$137,FALSE)</f>
        <v>0</v>
      </c>
      <c r="F214" s="8">
        <f>VLOOKUP(Vlookup!$B179,'CDCM Volume Forecasts'!$A$27:$AG$123,F$137,FALSE)</f>
        <v>0</v>
      </c>
      <c r="G214" s="8">
        <f>VLOOKUP(Vlookup!$B179,'CDCM Volume Forecasts'!$A$27:$AG$123,G$137,FALSE)</f>
        <v>0</v>
      </c>
      <c r="H214" s="10"/>
      <c r="I214"/>
      <c r="J214"/>
      <c r="K214"/>
    </row>
    <row r="215" spans="1:11" ht="15">
      <c r="A215" s="11" t="s">
        <v>1639</v>
      </c>
      <c r="B215" s="4">
        <f>VLOOKUP(Vlookup!$B180,'CDCM Volume Forecasts'!$A$27:$AG$123,B$137,FALSE)</f>
        <v>0</v>
      </c>
      <c r="C215" s="8">
        <f>VLOOKUP(Vlookup!$B180,'CDCM Volume Forecasts'!$A$27:$AG$123,C$137,FALSE)</f>
        <v>0</v>
      </c>
      <c r="D215" s="8">
        <f>VLOOKUP(Vlookup!$B180,'CDCM Volume Forecasts'!$A$27:$AG$123,D$137,FALSE)</f>
        <v>0</v>
      </c>
      <c r="E215" s="14">
        <f>VLOOKUP(Vlookup!$B180,'CDCM Volume Forecasts'!$A$27:$AG$123,E$137,FALSE)</f>
        <v>0</v>
      </c>
      <c r="F215" s="8">
        <f>VLOOKUP(Vlookup!$B180,'CDCM Volume Forecasts'!$A$27:$AG$123,F$137,FALSE)</f>
        <v>0</v>
      </c>
      <c r="G215" s="8">
        <f>VLOOKUP(Vlookup!$B180,'CDCM Volume Forecasts'!$A$27:$AG$123,G$137,FALSE)</f>
        <v>0</v>
      </c>
      <c r="H215" s="10"/>
      <c r="I215"/>
      <c r="J215"/>
      <c r="K215"/>
    </row>
    <row r="216" spans="1:11" ht="15">
      <c r="A216" s="17" t="s">
        <v>191</v>
      </c>
      <c r="B216" s="18">
        <f>VLOOKUP(Vlookup!$B181,'CDCM Volume Forecasts'!$A$27:$AG$123,B$137,FALSE)</f>
        <v>0</v>
      </c>
      <c r="C216" s="18">
        <f>VLOOKUP(Vlookup!$B181,'CDCM Volume Forecasts'!$A$27:$AG$123,C$137,FALSE)</f>
        <v>0</v>
      </c>
      <c r="D216" s="18">
        <f>VLOOKUP(Vlookup!$B181,'CDCM Volume Forecasts'!$A$27:$AG$123,D$137,FALSE)</f>
        <v>0</v>
      </c>
      <c r="E216" s="18">
        <f>VLOOKUP(Vlookup!$B181,'CDCM Volume Forecasts'!$A$27:$AG$123,E$137,FALSE)</f>
        <v>0</v>
      </c>
      <c r="F216" s="18">
        <f>VLOOKUP(Vlookup!$B181,'CDCM Volume Forecasts'!$A$27:$AG$123,F$137,FALSE)</f>
        <v>0</v>
      </c>
      <c r="G216" s="18">
        <f>VLOOKUP(Vlookup!$B181,'CDCM Volume Forecasts'!$A$27:$AG$123,G$137,FALSE)</f>
        <v>0</v>
      </c>
      <c r="H216" s="10"/>
      <c r="I216"/>
      <c r="J216"/>
      <c r="K216"/>
    </row>
    <row r="217" spans="1:11" ht="15">
      <c r="A217" s="11" t="s">
        <v>100</v>
      </c>
      <c r="B217" s="4">
        <f>VLOOKUP(Vlookup!$B182,'CDCM Volume Forecasts'!$A$27:$AG$123,B$137,FALSE)</f>
        <v>0</v>
      </c>
      <c r="C217" s="8">
        <f>VLOOKUP(Vlookup!$B182,'CDCM Volume Forecasts'!$A$27:$AG$123,C$137,FALSE)</f>
        <v>0</v>
      </c>
      <c r="D217" s="8">
        <f>VLOOKUP(Vlookup!$B182,'CDCM Volume Forecasts'!$A$27:$AG$123,D$137,FALSE)</f>
        <v>0</v>
      </c>
      <c r="E217" s="14">
        <f>VLOOKUP(Vlookup!$B182,'CDCM Volume Forecasts'!$A$27:$AG$123,E$137,FALSE)</f>
        <v>0</v>
      </c>
      <c r="F217" s="8">
        <f>VLOOKUP(Vlookup!$B182,'CDCM Volume Forecasts'!$A$27:$AG$123,F$137,FALSE)</f>
        <v>0</v>
      </c>
      <c r="G217" s="8">
        <f>VLOOKUP(Vlookup!$B182,'CDCM Volume Forecasts'!$A$27:$AG$123,G$137,FALSE)</f>
        <v>0</v>
      </c>
      <c r="H217" s="10"/>
      <c r="I217"/>
      <c r="J217"/>
      <c r="K217"/>
    </row>
    <row r="218" spans="1:11" ht="15">
      <c r="A218" s="11" t="s">
        <v>192</v>
      </c>
      <c r="B218" s="4">
        <f>VLOOKUP(Vlookup!$B183,'CDCM Volume Forecasts'!$A$27:$AG$123,B$137,FALSE)</f>
        <v>0</v>
      </c>
      <c r="C218" s="8">
        <f>VLOOKUP(Vlookup!$B183,'CDCM Volume Forecasts'!$A$27:$AG$123,C$137,FALSE)</f>
        <v>0</v>
      </c>
      <c r="D218" s="8">
        <f>VLOOKUP(Vlookup!$B183,'CDCM Volume Forecasts'!$A$27:$AG$123,D$137,FALSE)</f>
        <v>0</v>
      </c>
      <c r="E218" s="14">
        <f>VLOOKUP(Vlookup!$B183,'CDCM Volume Forecasts'!$A$27:$AG$123,E$137,FALSE)</f>
        <v>0</v>
      </c>
      <c r="F218" s="8">
        <f>VLOOKUP(Vlookup!$B183,'CDCM Volume Forecasts'!$A$27:$AG$123,F$137,FALSE)</f>
        <v>0</v>
      </c>
      <c r="G218" s="8">
        <f>VLOOKUP(Vlookup!$B183,'CDCM Volume Forecasts'!$A$27:$AG$123,G$137,FALSE)</f>
        <v>0</v>
      </c>
      <c r="H218" s="10"/>
      <c r="I218"/>
      <c r="J218"/>
      <c r="K218"/>
    </row>
    <row r="219" spans="1:11" ht="15">
      <c r="A219" s="17" t="s">
        <v>193</v>
      </c>
      <c r="B219" s="18">
        <f>VLOOKUP(Vlookup!$B184,'CDCM Volume Forecasts'!$A$27:$AG$123,B$137,FALSE)</f>
        <v>0</v>
      </c>
      <c r="C219" s="18">
        <f>VLOOKUP(Vlookup!$B184,'CDCM Volume Forecasts'!$A$27:$AG$123,C$137,FALSE)</f>
        <v>0</v>
      </c>
      <c r="D219" s="18">
        <f>VLOOKUP(Vlookup!$B184,'CDCM Volume Forecasts'!$A$27:$AG$123,D$137,FALSE)</f>
        <v>0</v>
      </c>
      <c r="E219" s="18">
        <f>VLOOKUP(Vlookup!$B184,'CDCM Volume Forecasts'!$A$27:$AG$123,E$137,FALSE)</f>
        <v>0</v>
      </c>
      <c r="F219" s="18">
        <f>VLOOKUP(Vlookup!$B184,'CDCM Volume Forecasts'!$A$27:$AG$123,F$137,FALSE)</f>
        <v>0</v>
      </c>
      <c r="G219" s="18">
        <f>VLOOKUP(Vlookup!$B184,'CDCM Volume Forecasts'!$A$27:$AG$123,G$137,FALSE)</f>
        <v>0</v>
      </c>
      <c r="H219" s="10"/>
      <c r="I219"/>
      <c r="J219"/>
      <c r="K219"/>
    </row>
    <row r="220" spans="1:11" ht="15">
      <c r="A220" s="11" t="s">
        <v>101</v>
      </c>
      <c r="B220" s="4">
        <f>VLOOKUP(Vlookup!$B185,'CDCM Volume Forecasts'!$A$27:$AG$123,B$137,FALSE)</f>
        <v>9529.9504738031992</v>
      </c>
      <c r="C220" s="8">
        <f>VLOOKUP(Vlookup!$B185,'CDCM Volume Forecasts'!$A$27:$AG$123,C$137,FALSE)</f>
        <v>0</v>
      </c>
      <c r="D220" s="8">
        <f>VLOOKUP(Vlookup!$B185,'CDCM Volume Forecasts'!$A$27:$AG$123,D$137,FALSE)</f>
        <v>0</v>
      </c>
      <c r="E220" s="14">
        <f>VLOOKUP(Vlookup!$B185,'CDCM Volume Forecasts'!$A$27:$AG$123,E$137,FALSE)</f>
        <v>146</v>
      </c>
      <c r="F220" s="8">
        <f>VLOOKUP(Vlookup!$B185,'CDCM Volume Forecasts'!$A$27:$AG$123,F$137,FALSE)</f>
        <v>0</v>
      </c>
      <c r="G220" s="4">
        <f>VLOOKUP(Vlookup!$B185,'CDCM Volume Forecasts'!$A$27:$AG$123,G$137,FALSE)</f>
        <v>338</v>
      </c>
      <c r="H220" s="10"/>
      <c r="I220"/>
      <c r="J220"/>
      <c r="K220"/>
    </row>
    <row r="221" spans="1:11" ht="15">
      <c r="A221" s="11" t="s">
        <v>194</v>
      </c>
      <c r="B221" s="4">
        <f>VLOOKUP(Vlookup!$B186,'CDCM Volume Forecasts'!$A$27:$AG$123,B$137,FALSE)</f>
        <v>0</v>
      </c>
      <c r="C221" s="8">
        <f>VLOOKUP(Vlookup!$B186,'CDCM Volume Forecasts'!$A$27:$AG$123,C$137,FALSE)</f>
        <v>0</v>
      </c>
      <c r="D221" s="8">
        <f>VLOOKUP(Vlookup!$B186,'CDCM Volume Forecasts'!$A$27:$AG$123,D$137,FALSE)</f>
        <v>0</v>
      </c>
      <c r="E221" s="14">
        <f>VLOOKUP(Vlookup!$B186,'CDCM Volume Forecasts'!$A$27:$AG$123,E$137,FALSE)</f>
        <v>0</v>
      </c>
      <c r="F221" s="8">
        <f>VLOOKUP(Vlookup!$B186,'CDCM Volume Forecasts'!$A$27:$AG$123,F$137,FALSE)</f>
        <v>0</v>
      </c>
      <c r="G221" s="4">
        <f>VLOOKUP(Vlookup!$B186,'CDCM Volume Forecasts'!$A$27:$AG$123,G$137,FALSE)</f>
        <v>0</v>
      </c>
      <c r="H221" s="10"/>
      <c r="I221"/>
      <c r="J221"/>
      <c r="K221"/>
    </row>
    <row r="222" spans="1:11" ht="15">
      <c r="A222" s="11" t="s">
        <v>195</v>
      </c>
      <c r="B222" s="4">
        <f>VLOOKUP(Vlookup!$B187,'CDCM Volume Forecasts'!$A$27:$AG$123,B$137,FALSE)</f>
        <v>0</v>
      </c>
      <c r="C222" s="8">
        <f>VLOOKUP(Vlookup!$B187,'CDCM Volume Forecasts'!$A$27:$AG$123,C$137,FALSE)</f>
        <v>0</v>
      </c>
      <c r="D222" s="8">
        <f>VLOOKUP(Vlookup!$B187,'CDCM Volume Forecasts'!$A$27:$AG$123,D$137,FALSE)</f>
        <v>0</v>
      </c>
      <c r="E222" s="14">
        <f>VLOOKUP(Vlookup!$B187,'CDCM Volume Forecasts'!$A$27:$AG$123,E$137,FALSE)</f>
        <v>0</v>
      </c>
      <c r="F222" s="8">
        <f>VLOOKUP(Vlookup!$B187,'CDCM Volume Forecasts'!$A$27:$AG$123,F$137,FALSE)</f>
        <v>0</v>
      </c>
      <c r="G222" s="4">
        <f>VLOOKUP(Vlookup!$B187,'CDCM Volume Forecasts'!$A$27:$AG$123,G$137,FALSE)</f>
        <v>0</v>
      </c>
      <c r="H222" s="10"/>
      <c r="I222"/>
      <c r="J222"/>
      <c r="K222"/>
    </row>
    <row r="223" spans="1:11" ht="15">
      <c r="A223" s="17" t="s">
        <v>196</v>
      </c>
      <c r="B223" s="18">
        <f>VLOOKUP(Vlookup!$B188,'CDCM Volume Forecasts'!$A$27:$AG$123,B$137,FALSE)</f>
        <v>0</v>
      </c>
      <c r="C223" s="18">
        <f>VLOOKUP(Vlookup!$B188,'CDCM Volume Forecasts'!$A$27:$AG$123,C$137,FALSE)</f>
        <v>0</v>
      </c>
      <c r="D223" s="18">
        <f>VLOOKUP(Vlookup!$B188,'CDCM Volume Forecasts'!$A$27:$AG$123,D$137,FALSE)</f>
        <v>0</v>
      </c>
      <c r="E223" s="18">
        <f>VLOOKUP(Vlookup!$B188,'CDCM Volume Forecasts'!$A$27:$AG$123,E$137,FALSE)</f>
        <v>0</v>
      </c>
      <c r="F223" s="18">
        <f>VLOOKUP(Vlookup!$B188,'CDCM Volume Forecasts'!$A$27:$AG$123,F$137,FALSE)</f>
        <v>0</v>
      </c>
      <c r="G223" s="18">
        <f>VLOOKUP(Vlookup!$B188,'CDCM Volume Forecasts'!$A$27:$AG$123,G$137,FALSE)</f>
        <v>0</v>
      </c>
      <c r="H223" s="10"/>
      <c r="I223"/>
      <c r="J223"/>
      <c r="K223"/>
    </row>
    <row r="224" spans="1:11" ht="15">
      <c r="A224" s="11" t="s">
        <v>102</v>
      </c>
      <c r="B224" s="4">
        <f>VLOOKUP(Vlookup!$B189,'CDCM Volume Forecasts'!$A$27:$AG$123,B$137,FALSE)</f>
        <v>130.2286029240839</v>
      </c>
      <c r="C224" s="4">
        <f>VLOOKUP(Vlookup!$B189,'CDCM Volume Forecasts'!$A$27:$AG$123,C$137,FALSE)</f>
        <v>867.1493329537202</v>
      </c>
      <c r="D224" s="4">
        <f>VLOOKUP(Vlookup!$B189,'CDCM Volume Forecasts'!$A$27:$AG$123,D$137,FALSE)</f>
        <v>897.89995991983972</v>
      </c>
      <c r="E224" s="14">
        <f>VLOOKUP(Vlookup!$B189,'CDCM Volume Forecasts'!$A$27:$AG$123,E$137,FALSE)</f>
        <v>11</v>
      </c>
      <c r="F224" s="8">
        <f>VLOOKUP(Vlookup!$B189,'CDCM Volume Forecasts'!$A$27:$AG$123,F$137,FALSE)</f>
        <v>0</v>
      </c>
      <c r="G224" s="4">
        <f>VLOOKUP(Vlookup!$B189,'CDCM Volume Forecasts'!$A$27:$AG$123,G$137,FALSE)</f>
        <v>31</v>
      </c>
      <c r="H224" s="10"/>
      <c r="I224"/>
      <c r="J224"/>
      <c r="K224"/>
    </row>
    <row r="225" spans="1:11" ht="15">
      <c r="A225" s="11" t="s">
        <v>197</v>
      </c>
      <c r="B225" s="4">
        <f>VLOOKUP(Vlookup!$B190,'CDCM Volume Forecasts'!$A$27:$AG$123,B$137,FALSE)</f>
        <v>0</v>
      </c>
      <c r="C225" s="4">
        <f>VLOOKUP(Vlookup!$B190,'CDCM Volume Forecasts'!$A$27:$AG$123,C$137,FALSE)</f>
        <v>0</v>
      </c>
      <c r="D225" s="4">
        <f>VLOOKUP(Vlookup!$B190,'CDCM Volume Forecasts'!$A$27:$AG$123,D$137,FALSE)</f>
        <v>0</v>
      </c>
      <c r="E225" s="14">
        <f>VLOOKUP(Vlookup!$B190,'CDCM Volume Forecasts'!$A$27:$AG$123,E$137,FALSE)</f>
        <v>0</v>
      </c>
      <c r="F225" s="8">
        <f>VLOOKUP(Vlookup!$B190,'CDCM Volume Forecasts'!$A$27:$AG$123,F$137,FALSE)</f>
        <v>0</v>
      </c>
      <c r="G225" s="4">
        <f>VLOOKUP(Vlookup!$B190,'CDCM Volume Forecasts'!$A$27:$AG$123,G$137,FALSE)</f>
        <v>0</v>
      </c>
      <c r="H225" s="10"/>
      <c r="I225"/>
      <c r="J225"/>
      <c r="K225"/>
    </row>
    <row r="226" spans="1:11" ht="15">
      <c r="A226" s="11" t="s">
        <v>198</v>
      </c>
      <c r="B226" s="4">
        <f>VLOOKUP(Vlookup!$B191,'CDCM Volume Forecasts'!$A$27:$AG$123,B$137,FALSE)</f>
        <v>0</v>
      </c>
      <c r="C226" s="4">
        <f>VLOOKUP(Vlookup!$B191,'CDCM Volume Forecasts'!$A$27:$AG$123,C$137,FALSE)</f>
        <v>0</v>
      </c>
      <c r="D226" s="4">
        <f>VLOOKUP(Vlookup!$B191,'CDCM Volume Forecasts'!$A$27:$AG$123,D$137,FALSE)</f>
        <v>0</v>
      </c>
      <c r="E226" s="14">
        <f>VLOOKUP(Vlookup!$B191,'CDCM Volume Forecasts'!$A$27:$AG$123,E$137,FALSE)</f>
        <v>0</v>
      </c>
      <c r="F226" s="8">
        <f>VLOOKUP(Vlookup!$B191,'CDCM Volume Forecasts'!$A$27:$AG$123,F$137,FALSE)</f>
        <v>0</v>
      </c>
      <c r="G226" s="4">
        <f>VLOOKUP(Vlookup!$B191,'CDCM Volume Forecasts'!$A$27:$AG$123,G$137,FALSE)</f>
        <v>0</v>
      </c>
      <c r="H226" s="10"/>
      <c r="I226"/>
      <c r="J226"/>
      <c r="K226"/>
    </row>
    <row r="227" spans="1:11" ht="15">
      <c r="A227" s="17" t="s">
        <v>199</v>
      </c>
      <c r="B227" s="18">
        <f>VLOOKUP(Vlookup!$B192,'CDCM Volume Forecasts'!$A$27:$AG$123,B$137,FALSE)</f>
        <v>0</v>
      </c>
      <c r="C227" s="18">
        <f>VLOOKUP(Vlookup!$B192,'CDCM Volume Forecasts'!$A$27:$AG$123,C$137,FALSE)</f>
        <v>0</v>
      </c>
      <c r="D227" s="18">
        <f>VLOOKUP(Vlookup!$B192,'CDCM Volume Forecasts'!$A$27:$AG$123,D$137,FALSE)</f>
        <v>0</v>
      </c>
      <c r="E227" s="18">
        <f>VLOOKUP(Vlookup!$B192,'CDCM Volume Forecasts'!$A$27:$AG$123,E$137,FALSE)</f>
        <v>0</v>
      </c>
      <c r="F227" s="18">
        <f>VLOOKUP(Vlookup!$B192,'CDCM Volume Forecasts'!$A$27:$AG$123,F$137,FALSE)</f>
        <v>0</v>
      </c>
      <c r="G227" s="18">
        <f>VLOOKUP(Vlookup!$B192,'CDCM Volume Forecasts'!$A$27:$AG$123,G$137,FALSE)</f>
        <v>0</v>
      </c>
      <c r="H227" s="10"/>
      <c r="I227"/>
      <c r="J227"/>
      <c r="K227"/>
    </row>
    <row r="228" spans="1:11" ht="15">
      <c r="A228" s="11" t="s">
        <v>103</v>
      </c>
      <c r="B228" s="4">
        <f>VLOOKUP(Vlookup!$B193,'CDCM Volume Forecasts'!$A$27:$AG$123,B$137,FALSE)</f>
        <v>37.670999999999999</v>
      </c>
      <c r="C228" s="8">
        <f>VLOOKUP(Vlookup!$B193,'CDCM Volume Forecasts'!$A$27:$AG$123,C$137,FALSE)</f>
        <v>0</v>
      </c>
      <c r="D228" s="8">
        <f>VLOOKUP(Vlookup!$B193,'CDCM Volume Forecasts'!$A$27:$AG$123,D$137,FALSE)</f>
        <v>0</v>
      </c>
      <c r="E228" s="14">
        <f>VLOOKUP(Vlookup!$B193,'CDCM Volume Forecasts'!$A$27:$AG$123,E$137,FALSE)</f>
        <v>1</v>
      </c>
      <c r="F228" s="8">
        <f>VLOOKUP(Vlookup!$B193,'CDCM Volume Forecasts'!$A$27:$AG$123,F$137,FALSE)</f>
        <v>0</v>
      </c>
      <c r="G228" s="4">
        <f>VLOOKUP(Vlookup!$B193,'CDCM Volume Forecasts'!$A$27:$AG$123,G$137,FALSE)</f>
        <v>0</v>
      </c>
      <c r="H228" s="10"/>
      <c r="I228"/>
      <c r="J228"/>
      <c r="K228"/>
    </row>
    <row r="229" spans="1:11" ht="15">
      <c r="A229" s="11" t="s">
        <v>200</v>
      </c>
      <c r="B229" s="4">
        <f>VLOOKUP(Vlookup!$B194,'CDCM Volume Forecasts'!$A$27:$AG$123,B$137,FALSE)</f>
        <v>0</v>
      </c>
      <c r="C229" s="8">
        <f>VLOOKUP(Vlookup!$B194,'CDCM Volume Forecasts'!$A$27:$AG$123,C$137,FALSE)</f>
        <v>0</v>
      </c>
      <c r="D229" s="8">
        <f>VLOOKUP(Vlookup!$B194,'CDCM Volume Forecasts'!$A$27:$AG$123,D$137,FALSE)</f>
        <v>0</v>
      </c>
      <c r="E229" s="14">
        <f>VLOOKUP(Vlookup!$B194,'CDCM Volume Forecasts'!$A$27:$AG$123,E$137,FALSE)</f>
        <v>0</v>
      </c>
      <c r="F229" s="8">
        <f>VLOOKUP(Vlookup!$B194,'CDCM Volume Forecasts'!$A$27:$AG$123,F$137,FALSE)</f>
        <v>0</v>
      </c>
      <c r="G229" s="4">
        <f>VLOOKUP(Vlookup!$B194,'CDCM Volume Forecasts'!$A$27:$AG$123,G$137,FALSE)</f>
        <v>0</v>
      </c>
      <c r="H229" s="10"/>
      <c r="I229"/>
      <c r="J229"/>
      <c r="K229"/>
    </row>
    <row r="230" spans="1:11" ht="15">
      <c r="A230" s="17" t="s">
        <v>201</v>
      </c>
      <c r="B230" s="18">
        <f>VLOOKUP(Vlookup!$B195,'CDCM Volume Forecasts'!$A$27:$AG$123,B$137,FALSE)</f>
        <v>0</v>
      </c>
      <c r="C230" s="18">
        <f>VLOOKUP(Vlookup!$B195,'CDCM Volume Forecasts'!$A$27:$AG$123,C$137,FALSE)</f>
        <v>0</v>
      </c>
      <c r="D230" s="18">
        <f>VLOOKUP(Vlookup!$B195,'CDCM Volume Forecasts'!$A$27:$AG$123,D$137,FALSE)</f>
        <v>0</v>
      </c>
      <c r="E230" s="18">
        <f>VLOOKUP(Vlookup!$B195,'CDCM Volume Forecasts'!$A$27:$AG$123,E$137,FALSE)</f>
        <v>0</v>
      </c>
      <c r="F230" s="18">
        <f>VLOOKUP(Vlookup!$B195,'CDCM Volume Forecasts'!$A$27:$AG$123,F$137,FALSE)</f>
        <v>0</v>
      </c>
      <c r="G230" s="18">
        <f>VLOOKUP(Vlookup!$B195,'CDCM Volume Forecasts'!$A$27:$AG$123,G$137,FALSE)</f>
        <v>0</v>
      </c>
      <c r="H230" s="10"/>
      <c r="I230"/>
      <c r="J230"/>
      <c r="K230"/>
    </row>
    <row r="231" spans="1:11" ht="15">
      <c r="A231" s="11" t="s">
        <v>104</v>
      </c>
      <c r="B231" s="4">
        <f>VLOOKUP(Vlookup!$B196,'CDCM Volume Forecasts'!$A$27:$AG$123,B$137,FALSE)</f>
        <v>0</v>
      </c>
      <c r="C231" s="4">
        <f>VLOOKUP(Vlookup!$B196,'CDCM Volume Forecasts'!$A$27:$AG$123,C$137,FALSE)</f>
        <v>0</v>
      </c>
      <c r="D231" s="4">
        <f>VLOOKUP(Vlookup!$B196,'CDCM Volume Forecasts'!$A$27:$AG$123,D$137,FALSE)</f>
        <v>0</v>
      </c>
      <c r="E231" s="14">
        <f>VLOOKUP(Vlookup!$B196,'CDCM Volume Forecasts'!$A$27:$AG$123,E$137,FALSE)</f>
        <v>0</v>
      </c>
      <c r="F231" s="8">
        <f>VLOOKUP(Vlookup!$B196,'CDCM Volume Forecasts'!$A$27:$AG$123,F$137,FALSE)</f>
        <v>0</v>
      </c>
      <c r="G231" s="4">
        <f>VLOOKUP(Vlookup!$B196,'CDCM Volume Forecasts'!$A$27:$AG$123,G$137,FALSE)</f>
        <v>0</v>
      </c>
      <c r="H231" s="10"/>
      <c r="I231"/>
      <c r="J231"/>
      <c r="K231"/>
    </row>
    <row r="232" spans="1:11" ht="15">
      <c r="A232" s="11" t="s">
        <v>202</v>
      </c>
      <c r="B232" s="4">
        <f>VLOOKUP(Vlookup!$B197,'CDCM Volume Forecasts'!$A$27:$AG$123,B$137,FALSE)</f>
        <v>0</v>
      </c>
      <c r="C232" s="4">
        <f>VLOOKUP(Vlookup!$B197,'CDCM Volume Forecasts'!$A$27:$AG$123,C$137,FALSE)</f>
        <v>0</v>
      </c>
      <c r="D232" s="4">
        <f>VLOOKUP(Vlookup!$B197,'CDCM Volume Forecasts'!$A$27:$AG$123,D$137,FALSE)</f>
        <v>0</v>
      </c>
      <c r="E232" s="14">
        <f>VLOOKUP(Vlookup!$B197,'CDCM Volume Forecasts'!$A$27:$AG$123,E$137,FALSE)</f>
        <v>0</v>
      </c>
      <c r="F232" s="8">
        <f>VLOOKUP(Vlookup!$B197,'CDCM Volume Forecasts'!$A$27:$AG$123,F$137,FALSE)</f>
        <v>0</v>
      </c>
      <c r="G232" s="4">
        <f>VLOOKUP(Vlookup!$B197,'CDCM Volume Forecasts'!$A$27:$AG$123,G$137,FALSE)</f>
        <v>0</v>
      </c>
      <c r="H232" s="10"/>
      <c r="I232"/>
      <c r="J232"/>
      <c r="K232"/>
    </row>
    <row r="233" spans="1:11" ht="15">
      <c r="A233" s="17" t="s">
        <v>203</v>
      </c>
      <c r="B233" s="18">
        <f>VLOOKUP(Vlookup!$B198,'CDCM Volume Forecasts'!$A$27:$AG$123,B$137,FALSE)</f>
        <v>0</v>
      </c>
      <c r="C233" s="18">
        <f>VLOOKUP(Vlookup!$B198,'CDCM Volume Forecasts'!$A$27:$AG$123,C$137,FALSE)</f>
        <v>0</v>
      </c>
      <c r="D233" s="18">
        <f>VLOOKUP(Vlookup!$B198,'CDCM Volume Forecasts'!$A$27:$AG$123,D$137,FALSE)</f>
        <v>0</v>
      </c>
      <c r="E233" s="18">
        <f>VLOOKUP(Vlookup!$B198,'CDCM Volume Forecasts'!$A$27:$AG$123,E$137,FALSE)</f>
        <v>0</v>
      </c>
      <c r="F233" s="18">
        <f>VLOOKUP(Vlookup!$B198,'CDCM Volume Forecasts'!$A$27:$AG$123,F$137,FALSE)</f>
        <v>0</v>
      </c>
      <c r="G233" s="18">
        <f>VLOOKUP(Vlookup!$B198,'CDCM Volume Forecasts'!$A$27:$AG$123,G$137,FALSE)</f>
        <v>0</v>
      </c>
      <c r="H233" s="10"/>
      <c r="I233"/>
      <c r="J233"/>
      <c r="K233"/>
    </row>
    <row r="234" spans="1:11" ht="15">
      <c r="A234" s="11" t="s">
        <v>112</v>
      </c>
      <c r="B234" s="4">
        <f>VLOOKUP(Vlookup!$B199,'CDCM Volume Forecasts'!$A$27:$AG$123,B$137,FALSE)</f>
        <v>44577.689286771631</v>
      </c>
      <c r="C234" s="8">
        <f>VLOOKUP(Vlookup!$B199,'CDCM Volume Forecasts'!$A$27:$AG$123,C$137,FALSE)</f>
        <v>0</v>
      </c>
      <c r="D234" s="8">
        <f>VLOOKUP(Vlookup!$B199,'CDCM Volume Forecasts'!$A$27:$AG$123,D$137,FALSE)</f>
        <v>0</v>
      </c>
      <c r="E234" s="14">
        <f>VLOOKUP(Vlookup!$B199,'CDCM Volume Forecasts'!$A$27:$AG$123,E$137,FALSE)</f>
        <v>27</v>
      </c>
      <c r="F234" s="8">
        <f>VLOOKUP(Vlookup!$B199,'CDCM Volume Forecasts'!$A$27:$AG$123,F$137,FALSE)</f>
        <v>0</v>
      </c>
      <c r="G234" s="4">
        <f>VLOOKUP(Vlookup!$B199,'CDCM Volume Forecasts'!$A$27:$AG$123,G$137,FALSE)</f>
        <v>859</v>
      </c>
      <c r="H234" s="10"/>
      <c r="I234"/>
      <c r="J234"/>
      <c r="K234"/>
    </row>
    <row r="235" spans="1:11" ht="15">
      <c r="A235" s="11" t="s">
        <v>204</v>
      </c>
      <c r="B235" s="4">
        <f>VLOOKUP(Vlookup!$B200,'CDCM Volume Forecasts'!$A$27:$AG$123,B$137,FALSE)</f>
        <v>0</v>
      </c>
      <c r="C235" s="8">
        <f>VLOOKUP(Vlookup!$B200,'CDCM Volume Forecasts'!$A$27:$AG$123,C$137,FALSE)</f>
        <v>0</v>
      </c>
      <c r="D235" s="8">
        <f>VLOOKUP(Vlookup!$B200,'CDCM Volume Forecasts'!$A$27:$AG$123,D$137,FALSE)</f>
        <v>0</v>
      </c>
      <c r="E235" s="14">
        <f>VLOOKUP(Vlookup!$B200,'CDCM Volume Forecasts'!$A$27:$AG$123,E$137,FALSE)</f>
        <v>0</v>
      </c>
      <c r="F235" s="8">
        <f>VLOOKUP(Vlookup!$B200,'CDCM Volume Forecasts'!$A$27:$AG$123,F$137,FALSE)</f>
        <v>0</v>
      </c>
      <c r="G235" s="4">
        <f>VLOOKUP(Vlookup!$B200,'CDCM Volume Forecasts'!$A$27:$AG$123,G$137,FALSE)</f>
        <v>0</v>
      </c>
      <c r="H235" s="10"/>
      <c r="I235"/>
      <c r="J235"/>
      <c r="K235"/>
    </row>
    <row r="236" spans="1:11" ht="15">
      <c r="A236" s="17" t="s">
        <v>205</v>
      </c>
      <c r="B236" s="18">
        <f>VLOOKUP(Vlookup!$B201,'CDCM Volume Forecasts'!$A$27:$AG$123,B$137,FALSE)</f>
        <v>0</v>
      </c>
      <c r="C236" s="18">
        <f>VLOOKUP(Vlookup!$B201,'CDCM Volume Forecasts'!$A$27:$AG$123,C$137,FALSE)</f>
        <v>0</v>
      </c>
      <c r="D236" s="18">
        <f>VLOOKUP(Vlookup!$B201,'CDCM Volume Forecasts'!$A$27:$AG$123,D$137,FALSE)</f>
        <v>0</v>
      </c>
      <c r="E236" s="18">
        <f>VLOOKUP(Vlookup!$B201,'CDCM Volume Forecasts'!$A$27:$AG$123,E$137,FALSE)</f>
        <v>0</v>
      </c>
      <c r="F236" s="18">
        <f>VLOOKUP(Vlookup!$B201,'CDCM Volume Forecasts'!$A$27:$AG$123,F$137,FALSE)</f>
        <v>0</v>
      </c>
      <c r="G236" s="18">
        <f>VLOOKUP(Vlookup!$B201,'CDCM Volume Forecasts'!$A$27:$AG$123,G$137,FALSE)</f>
        <v>0</v>
      </c>
      <c r="H236" s="10"/>
      <c r="I236"/>
      <c r="J236"/>
      <c r="K236"/>
    </row>
    <row r="237" spans="1:11" ht="15">
      <c r="A237" s="11" t="s">
        <v>113</v>
      </c>
      <c r="B237" s="4">
        <f>VLOOKUP(Vlookup!$B202,'CDCM Volume Forecasts'!$A$27:$AG$123,B$137,FALSE)</f>
        <v>9070.7235647319703</v>
      </c>
      <c r="C237" s="4">
        <f>VLOOKUP(Vlookup!$B202,'CDCM Volume Forecasts'!$A$27:$AG$123,C$137,FALSE)</f>
        <v>44174.558442663067</v>
      </c>
      <c r="D237" s="4">
        <f>VLOOKUP(Vlookup!$B202,'CDCM Volume Forecasts'!$A$27:$AG$123,D$137,FALSE)</f>
        <v>48120.15616862481</v>
      </c>
      <c r="E237" s="14">
        <f>VLOOKUP(Vlookup!$B202,'CDCM Volume Forecasts'!$A$27:$AG$123,E$137,FALSE)</f>
        <v>27</v>
      </c>
      <c r="F237" s="8">
        <f>VLOOKUP(Vlookup!$B202,'CDCM Volume Forecasts'!$A$27:$AG$123,F$137,FALSE)</f>
        <v>0</v>
      </c>
      <c r="G237" s="4">
        <f>VLOOKUP(Vlookup!$B202,'CDCM Volume Forecasts'!$A$27:$AG$123,G$137,FALSE)</f>
        <v>742</v>
      </c>
      <c r="H237" s="10"/>
      <c r="I237"/>
      <c r="J237"/>
      <c r="K237"/>
    </row>
    <row r="238" spans="1:11" ht="15">
      <c r="A238" s="11" t="s">
        <v>206</v>
      </c>
      <c r="B238" s="4">
        <f>VLOOKUP(Vlookup!$B203,'CDCM Volume Forecasts'!$A$27:$AG$123,B$137,FALSE)</f>
        <v>0</v>
      </c>
      <c r="C238" s="4">
        <f>VLOOKUP(Vlookup!$B203,'CDCM Volume Forecasts'!$A$27:$AG$123,C$137,FALSE)</f>
        <v>0</v>
      </c>
      <c r="D238" s="4">
        <f>VLOOKUP(Vlookup!$B203,'CDCM Volume Forecasts'!$A$27:$AG$123,D$137,FALSE)</f>
        <v>0</v>
      </c>
      <c r="E238" s="14">
        <f>VLOOKUP(Vlookup!$B203,'CDCM Volume Forecasts'!$A$27:$AG$123,E$137,FALSE)</f>
        <v>0</v>
      </c>
      <c r="F238" s="8">
        <f>VLOOKUP(Vlookup!$B203,'CDCM Volume Forecasts'!$A$27:$AG$123,F$137,FALSE)</f>
        <v>0</v>
      </c>
      <c r="G238" s="4">
        <f>VLOOKUP(Vlookup!$B203,'CDCM Volume Forecasts'!$A$27:$AG$123,G$137,FALSE)</f>
        <v>0</v>
      </c>
      <c r="H238" s="10"/>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11" t="s">
        <v>209</v>
      </c>
      <c r="B244" s="14">
        <f>VLOOKUP(Vlookup!B209,'CDCM Forecast Data'!$A$14:$I$271,5,FALSE)</f>
        <v>9891224.7698980197</v>
      </c>
      <c r="C244" s="10"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11" t="s">
        <v>215</v>
      </c>
      <c r="B249" s="14">
        <f>VLOOKUP(Vlookup!B214,'CDCM Forecast Data'!$A$14:$I$271,5,FALSE)</f>
        <v>18291728.435837064</v>
      </c>
      <c r="C249" s="14">
        <f>VLOOKUP(Vlookup!C214,'CDCM Forecast Data'!$A$14:$I$271,5,FALSE)</f>
        <v>59900136.566642277</v>
      </c>
      <c r="D249" s="16">
        <f>VLOOKUP(Vlookup!D214,'CDCM Forecast Data'!$A$14:$I$271,5,FALSE)</f>
        <v>0.6</v>
      </c>
      <c r="E249" s="14">
        <f>VLOOKUP(Vlookup!E214,'CDCM Forecast Data'!$A$14:$I$271,5,FALSE)</f>
        <v>16186291</v>
      </c>
      <c r="F249" s="10"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11" t="s">
        <v>228</v>
      </c>
      <c r="B257" s="16">
        <f>VLOOKUP(Vlookup!B222,'CDCM Forecast Data'!$A$14:$I$271,5,FALSE)</f>
        <v>0</v>
      </c>
      <c r="C257" s="16">
        <f>VLOOKUP(Vlookup!C222,'CDCM Forecast Data'!$A$14:$I$271,5,FALSE)</f>
        <v>0</v>
      </c>
      <c r="D257" s="16">
        <f>VLOOKUP(Vlookup!D222,'CDCM Forecast Data'!$A$14:$I$271,5,FALSE)</f>
        <v>0</v>
      </c>
      <c r="E257" s="16">
        <f>VLOOKUP(Vlookup!E222,'CDCM Forecast Data'!$A$14:$I$271,5,FALSE)</f>
        <v>0.75</v>
      </c>
      <c r="F257" s="16">
        <f>VLOOKUP(Vlookup!F222,'CDCM Forecast Data'!$A$14:$I$271,5,FALSE)</f>
        <v>0.75</v>
      </c>
      <c r="G257" s="16">
        <f>VLOOKUP(Vlookup!G222,'CDCM Forecast Data'!$A$14:$I$271,5,FALSE)</f>
        <v>0.75</v>
      </c>
      <c r="H257" s="16">
        <f>VLOOKUP(Vlookup!H222,'CDCM Forecast Data'!$A$14:$I$271,5,FALSE)</f>
        <v>0.95</v>
      </c>
      <c r="I257" s="16">
        <f>VLOOKUP(Vlookup!I222,'CDCM Forecast Data'!$A$14:$I$271,5,FALSE)</f>
        <v>0.95</v>
      </c>
      <c r="J257" s="10" t="s">
        <v>262</v>
      </c>
      <c r="K257"/>
    </row>
    <row r="258" spans="1:11" ht="15">
      <c r="A258" s="11" t="s">
        <v>229</v>
      </c>
      <c r="B258" s="16">
        <f>VLOOKUP(Vlookup!B223,'CDCM Forecast Data'!$A$14:$I$271,5,FALSE)</f>
        <v>0</v>
      </c>
      <c r="C258" s="16">
        <f>VLOOKUP(Vlookup!C223,'CDCM Forecast Data'!$A$14:$I$271,5,FALSE)</f>
        <v>0</v>
      </c>
      <c r="D258" s="16">
        <f>VLOOKUP(Vlookup!D223,'CDCM Forecast Data'!$A$14:$I$271,5,FALSE)</f>
        <v>0</v>
      </c>
      <c r="E258" s="16">
        <f>VLOOKUP(Vlookup!E223,'CDCM Forecast Data'!$A$14:$I$271,5,FALSE)</f>
        <v>0.75</v>
      </c>
      <c r="F258" s="16">
        <f>VLOOKUP(Vlookup!F223,'CDCM Forecast Data'!$A$14:$I$271,5,FALSE)</f>
        <v>0.75</v>
      </c>
      <c r="G258" s="16">
        <f>VLOOKUP(Vlookup!G223,'CDCM Forecast Data'!$A$14:$I$271,5,FALSE)</f>
        <v>0.75</v>
      </c>
      <c r="H258" s="16">
        <f>VLOOKUP(Vlookup!H223,'CDCM Forecast Data'!$A$14:$I$271,5,FALSE)</f>
        <v>0.95</v>
      </c>
      <c r="I258" s="8"/>
      <c r="J258" s="10" t="s">
        <v>262</v>
      </c>
      <c r="K258"/>
    </row>
    <row r="259" spans="1:11" ht="15">
      <c r="A259" s="11" t="s">
        <v>230</v>
      </c>
      <c r="B259" s="16">
        <f>VLOOKUP(Vlookup!B224,'CDCM Forecast Data'!$A$14:$I$271,5,FALSE)</f>
        <v>0</v>
      </c>
      <c r="C259" s="16">
        <f>VLOOKUP(Vlookup!C224,'CDCM Forecast Data'!$A$14:$I$271,5,FALSE)</f>
        <v>0.36</v>
      </c>
      <c r="D259" s="16">
        <f>VLOOKUP(Vlookup!D224,'CDCM Forecast Data'!$A$14:$I$271,5,FALSE)</f>
        <v>0.36</v>
      </c>
      <c r="E259" s="16">
        <f>VLOOKUP(Vlookup!E224,'CDCM Forecast Data'!$A$14:$I$271,5,FALSE)</f>
        <v>0.91</v>
      </c>
      <c r="F259" s="16">
        <f>VLOOKUP(Vlookup!F224,'CDCM Forecast Data'!$A$14:$I$271,5,FALSE)</f>
        <v>0.91</v>
      </c>
      <c r="G259" s="16">
        <f>VLOOKUP(Vlookup!G224,'CDCM Forecast Data'!$A$14:$I$271,5,FALSE)</f>
        <v>0.91</v>
      </c>
      <c r="H259" s="8"/>
      <c r="I259" s="8"/>
      <c r="J259" s="10" t="s">
        <v>262</v>
      </c>
      <c r="K259"/>
    </row>
    <row r="260" spans="1:11" ht="15">
      <c r="A260" s="11" t="s">
        <v>231</v>
      </c>
      <c r="B260" s="16">
        <f>VLOOKUP(Vlookup!B225,'CDCM Forecast Data'!$A$14:$I$271,5,FALSE)</f>
        <v>0</v>
      </c>
      <c r="C260" s="16">
        <f>VLOOKUP(Vlookup!C225,'CDCM Forecast Data'!$A$14:$I$271,5,FALSE)</f>
        <v>0.36</v>
      </c>
      <c r="D260" s="16">
        <f>VLOOKUP(Vlookup!D225,'CDCM Forecast Data'!$A$14:$I$271,5,FALSE)</f>
        <v>0.36</v>
      </c>
      <c r="E260" s="16">
        <f>VLOOKUP(Vlookup!E225,'CDCM Forecast Data'!$A$14:$I$271,5,FALSE)</f>
        <v>0.91</v>
      </c>
      <c r="F260" s="8"/>
      <c r="G260" s="8"/>
      <c r="H260" s="8"/>
      <c r="I260" s="8"/>
      <c r="J260" s="10"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11" t="s">
        <v>92</v>
      </c>
      <c r="B265" s="16">
        <f>VLOOKUP(Vlookup!B235,'CDCM Forecast Data'!$A$14:$I$271,5,FALSE)</f>
        <v>0.11298330820969384</v>
      </c>
      <c r="C265" s="16">
        <f>VLOOKUP(Vlookup!C235,'CDCM Forecast Data'!$A$14:$I$271,5,FALSE)</f>
        <v>0.50223801835264836</v>
      </c>
      <c r="D265" s="16">
        <f>VLOOKUP(Vlookup!D235,'CDCM Forecast Data'!$A$14:$I$271,5,FALSE)</f>
        <v>0.38477867343765787</v>
      </c>
      <c r="E265" s="10" t="s">
        <v>262</v>
      </c>
      <c r="F265"/>
      <c r="G265"/>
      <c r="H265"/>
      <c r="I265"/>
      <c r="J265"/>
      <c r="K265"/>
    </row>
    <row r="266" spans="1:11" ht="15">
      <c r="A266" s="11" t="s">
        <v>93</v>
      </c>
      <c r="B266" s="16">
        <f>VLOOKUP(Vlookup!B236,'CDCM Forecast Data'!$A$14:$I$271,5,FALSE)</f>
        <v>0.13327131053018113</v>
      </c>
      <c r="C266" s="16">
        <f>VLOOKUP(Vlookup!C236,'CDCM Forecast Data'!$A$14:$I$271,5,FALSE)</f>
        <v>0.57760793092211993</v>
      </c>
      <c r="D266" s="16">
        <f>VLOOKUP(Vlookup!D236,'CDCM Forecast Data'!$A$14:$I$271,5,FALSE)</f>
        <v>0.28912075854769903</v>
      </c>
      <c r="E266" s="10" t="s">
        <v>262</v>
      </c>
      <c r="F266"/>
      <c r="G266"/>
      <c r="H266"/>
      <c r="I266"/>
      <c r="J266"/>
      <c r="K266"/>
    </row>
    <row r="267" spans="1:11" ht="15">
      <c r="A267" s="11" t="s">
        <v>129</v>
      </c>
      <c r="B267" s="16">
        <f>VLOOKUP(Vlookup!B237,'CDCM Forecast Data'!$A$14:$I$271,5,FALSE)</f>
        <v>2.8375924531958633E-7</v>
      </c>
      <c r="C267" s="16">
        <f>VLOOKUP(Vlookup!C237,'CDCM Forecast Data'!$A$14:$I$271,5,FALSE)</f>
        <v>0.16926612955281603</v>
      </c>
      <c r="D267" s="16">
        <f>VLOOKUP(Vlookup!D237,'CDCM Forecast Data'!$A$14:$I$271,5,FALSE)</f>
        <v>0.83073358668793862</v>
      </c>
      <c r="E267" s="10"/>
      <c r="F267"/>
      <c r="G267"/>
      <c r="H267"/>
      <c r="I267"/>
      <c r="J267"/>
      <c r="K267"/>
    </row>
    <row r="268" spans="1:11" ht="15">
      <c r="A268" s="11" t="s">
        <v>94</v>
      </c>
      <c r="B268" s="16">
        <f>VLOOKUP(Vlookup!B238,'CDCM Forecast Data'!$A$14:$I$271,5,FALSE)</f>
        <v>7.1203946559325326E-2</v>
      </c>
      <c r="C268" s="16">
        <f>VLOOKUP(Vlookup!C238,'CDCM Forecast Data'!$A$14:$I$271,5,FALSE)</f>
        <v>0.58452126520102876</v>
      </c>
      <c r="D268" s="16">
        <f>VLOOKUP(Vlookup!D238,'CDCM Forecast Data'!$A$14:$I$271,5,FALSE)</f>
        <v>0.3442747882396458</v>
      </c>
      <c r="E268" s="10"/>
      <c r="F268"/>
      <c r="G268"/>
      <c r="H268"/>
      <c r="I268"/>
      <c r="J268"/>
      <c r="K268"/>
    </row>
    <row r="269" spans="1:11" ht="15">
      <c r="A269" s="11" t="s">
        <v>95</v>
      </c>
      <c r="B269" s="16">
        <f>VLOOKUP(Vlookup!B239,'CDCM Forecast Data'!$A$14:$I$271,5,FALSE)</f>
        <v>9.7838540209257197E-2</v>
      </c>
      <c r="C269" s="16">
        <f>VLOOKUP(Vlookup!C239,'CDCM Forecast Data'!$A$14:$I$271,5,FALSE)</f>
        <v>0.65520507591280774</v>
      </c>
      <c r="D269" s="16">
        <f>VLOOKUP(Vlookup!D239,'CDCM Forecast Data'!$A$14:$I$271,5,FALSE)</f>
        <v>0.24695638387793503</v>
      </c>
      <c r="E269" s="10" t="s">
        <v>262</v>
      </c>
      <c r="F269"/>
      <c r="G269"/>
      <c r="H269"/>
      <c r="I269"/>
      <c r="J269"/>
      <c r="K269"/>
    </row>
    <row r="270" spans="1:11" ht="15">
      <c r="A270" s="11" t="s">
        <v>130</v>
      </c>
      <c r="B270" s="16">
        <f>VLOOKUP(Vlookup!B240,'CDCM Forecast Data'!$A$14:$I$271,5,FALSE)</f>
        <v>8.9699691483682498E-5</v>
      </c>
      <c r="C270" s="16">
        <f>VLOOKUP(Vlookup!C240,'CDCM Forecast Data'!$A$14:$I$271,5,FALSE)</f>
        <v>0.17771579837582263</v>
      </c>
      <c r="D270" s="16">
        <f>VLOOKUP(Vlookup!D240,'CDCM Forecast Data'!$A$14:$I$271,5,FALSE)</f>
        <v>0.82219450193269361</v>
      </c>
      <c r="E270" s="10" t="s">
        <v>262</v>
      </c>
      <c r="F270"/>
      <c r="G270"/>
      <c r="H270"/>
      <c r="I270"/>
      <c r="J270"/>
      <c r="K270"/>
    </row>
    <row r="271" spans="1:11" ht="15">
      <c r="A271" s="11" t="s">
        <v>96</v>
      </c>
      <c r="B271" s="16">
        <f>VLOOKUP(Vlookup!B241,'CDCM Forecast Data'!$A$14:$I$271,5,FALSE)</f>
        <v>0.10118214285683957</v>
      </c>
      <c r="C271" s="16">
        <f>VLOOKUP(Vlookup!C241,'CDCM Forecast Data'!$A$14:$I$271,5,FALSE)</f>
        <v>0.66091965296388588</v>
      </c>
      <c r="D271" s="16">
        <f>VLOOKUP(Vlookup!D241,'CDCM Forecast Data'!$A$14:$I$271,5,FALSE)</f>
        <v>0.23789820417927454</v>
      </c>
      <c r="E271" s="10" t="s">
        <v>262</v>
      </c>
      <c r="F271"/>
      <c r="G271"/>
      <c r="H271"/>
      <c r="I271"/>
      <c r="J271"/>
      <c r="K271"/>
    </row>
    <row r="272" spans="1:11" ht="15">
      <c r="A272" s="11" t="s">
        <v>97</v>
      </c>
      <c r="B272" s="16">
        <f>VLOOKUP(Vlookup!B242,'CDCM Forecast Data'!$A$14:$I$271,5,FALSE)</f>
        <v>9.9173095445870232E-2</v>
      </c>
      <c r="C272" s="16">
        <f>VLOOKUP(Vlookup!C242,'CDCM Forecast Data'!$A$14:$I$271,5,FALSE)</f>
        <v>0.66646341204630843</v>
      </c>
      <c r="D272" s="16">
        <f>VLOOKUP(Vlookup!D242,'CDCM Forecast Data'!$A$14:$I$271,5,FALSE)</f>
        <v>0.23436349250782129</v>
      </c>
      <c r="E272" s="10" t="s">
        <v>262</v>
      </c>
      <c r="F272"/>
      <c r="G272"/>
      <c r="H272"/>
      <c r="I272"/>
      <c r="J272"/>
      <c r="K272"/>
    </row>
    <row r="273" spans="1:11" ht="15">
      <c r="A273" s="11" t="s">
        <v>110</v>
      </c>
      <c r="B273" s="16">
        <f>VLOOKUP(Vlookup!B243,'CDCM Forecast Data'!$A$14:$I$271,5,FALSE)</f>
        <v>9.9001646523263931E-2</v>
      </c>
      <c r="C273" s="16">
        <f>VLOOKUP(Vlookup!C243,'CDCM Forecast Data'!$A$14:$I$271,5,FALSE)</f>
        <v>0.69464097956994497</v>
      </c>
      <c r="D273" s="16">
        <f>VLOOKUP(Vlookup!D243,'CDCM Forecast Data'!$A$14:$I$271,5,FALSE)</f>
        <v>0.2063573739067911</v>
      </c>
      <c r="E273" s="10"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11" t="s">
        <v>93</v>
      </c>
      <c r="B278" s="16">
        <f>VLOOKUP(Vlookup!B251,'CDCM Forecast Data'!$A$14:$I$271,5,FALSE)</f>
        <v>0</v>
      </c>
      <c r="C278" s="16">
        <f>VLOOKUP(Vlookup!C251,'CDCM Forecast Data'!$A$14:$I$271,5,FALSE)</f>
        <v>3.4830602664601619E-2</v>
      </c>
      <c r="D278" s="16">
        <f>VLOOKUP(Vlookup!D251,'CDCM Forecast Data'!$A$14:$I$271,5,FALSE)</f>
        <v>0.96516939733539842</v>
      </c>
      <c r="E278" s="10" t="s">
        <v>262</v>
      </c>
      <c r="F278"/>
      <c r="G278"/>
      <c r="H278"/>
      <c r="I278"/>
      <c r="J278"/>
      <c r="K278"/>
    </row>
    <row r="279" spans="1:11" ht="15">
      <c r="A279" s="11" t="s">
        <v>95</v>
      </c>
      <c r="B279" s="16">
        <f>VLOOKUP(Vlookup!B252,'CDCM Forecast Data'!$A$14:$I$271,5,FALSE)</f>
        <v>1.6556870442601376E-8</v>
      </c>
      <c r="C279" s="16">
        <f>VLOOKUP(Vlookup!C252,'CDCM Forecast Data'!$A$14:$I$271,5,FALSE)</f>
        <v>5.869529563813064E-2</v>
      </c>
      <c r="D279" s="16">
        <f>VLOOKUP(Vlookup!D252,'CDCM Forecast Data'!$A$14:$I$271,5,FALSE)</f>
        <v>0.94130468780499887</v>
      </c>
      <c r="E279" s="10" t="s">
        <v>262</v>
      </c>
      <c r="F279"/>
      <c r="G279"/>
      <c r="H279"/>
      <c r="I279"/>
      <c r="J279"/>
      <c r="K279"/>
    </row>
    <row r="280" spans="1:11" ht="15">
      <c r="A280" s="11" t="s">
        <v>96</v>
      </c>
      <c r="B280" s="16">
        <f>VLOOKUP(Vlookup!B253,'CDCM Forecast Data'!$A$14:$I$271,5,FALSE)</f>
        <v>0</v>
      </c>
      <c r="C280" s="16">
        <f>VLOOKUP(Vlookup!C253,'CDCM Forecast Data'!$A$14:$I$271,5,FALSE)</f>
        <v>5.1301871668323713E-3</v>
      </c>
      <c r="D280" s="16">
        <f>VLOOKUP(Vlookup!D253,'CDCM Forecast Data'!$A$14:$I$271,5,FALSE)</f>
        <v>0.99486981283316778</v>
      </c>
      <c r="E280" s="10" t="s">
        <v>262</v>
      </c>
      <c r="F280"/>
      <c r="G280"/>
      <c r="H280"/>
      <c r="I280"/>
      <c r="J280"/>
      <c r="K280"/>
    </row>
    <row r="281" spans="1:11" ht="15">
      <c r="A281" s="11" t="s">
        <v>97</v>
      </c>
      <c r="B281" s="16">
        <f>VLOOKUP(Vlookup!B254,'CDCM Forecast Data'!$A$14:$I$271,5,FALSE)</f>
        <v>0</v>
      </c>
      <c r="C281" s="16">
        <f>VLOOKUP(Vlookup!C254,'CDCM Forecast Data'!$A$14:$I$271,5,FALSE)</f>
        <v>3.213521583597959E-3</v>
      </c>
      <c r="D281" s="16">
        <f>VLOOKUP(Vlookup!D254,'CDCM Forecast Data'!$A$14:$I$271,5,FALSE)</f>
        <v>0.99678647841640211</v>
      </c>
      <c r="E281" s="10" t="s">
        <v>262</v>
      </c>
      <c r="F281"/>
      <c r="G281"/>
      <c r="H281"/>
      <c r="I281"/>
      <c r="J281"/>
      <c r="K281"/>
    </row>
    <row r="282" spans="1:11" ht="15">
      <c r="A282" s="11" t="s">
        <v>110</v>
      </c>
      <c r="B282" s="16">
        <f>VLOOKUP(Vlookup!B255,'CDCM Forecast Data'!$A$14:$I$271,5,FALSE)</f>
        <v>0</v>
      </c>
      <c r="C282" s="16">
        <f>VLOOKUP(Vlookup!C255,'CDCM Forecast Data'!$A$14:$I$271,5,FALSE)</f>
        <v>4.2256521599561099E-3</v>
      </c>
      <c r="D282" s="16">
        <f>VLOOKUP(Vlookup!D255,'CDCM Forecast Data'!$A$14:$I$271,5,FALSE)</f>
        <v>0.99577434784004382</v>
      </c>
      <c r="E282" s="10"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11" t="s">
        <v>131</v>
      </c>
      <c r="B287" s="16">
        <f>VLOOKUP(Vlookup!B260,'CDCM Forecast Data'!$A$14:$I$271,5,FALSE)</f>
        <v>2.2070015220700151E-2</v>
      </c>
      <c r="C287" s="16">
        <f>VLOOKUP(Vlookup!C260,'CDCM Forecast Data'!$A$14:$I$271,5,FALSE)</f>
        <v>0.48085996955859972</v>
      </c>
      <c r="D287" s="16">
        <f>VLOOKUP(Vlookup!D260,'CDCM Forecast Data'!$A$14:$I$271,5,FALSE)</f>
        <v>0.49707001522070016</v>
      </c>
      <c r="E287" s="10" t="s">
        <v>262</v>
      </c>
      <c r="F287"/>
      <c r="G287"/>
      <c r="H287"/>
      <c r="I287"/>
      <c r="J287"/>
      <c r="K287"/>
    </row>
    <row r="288" spans="1:11" ht="15">
      <c r="A288" s="11" t="s">
        <v>132</v>
      </c>
      <c r="B288" s="16">
        <f>VLOOKUP(Vlookup!B261,'CDCM Forecast Data'!$A$14:$I$271,5,FALSE)</f>
        <v>4.3296502490334364E-2</v>
      </c>
      <c r="C288" s="16">
        <f>VLOOKUP(Vlookup!C261,'CDCM Forecast Data'!$A$14:$I$271,5,FALSE)</f>
        <v>0.19352712515009221</v>
      </c>
      <c r="D288" s="16">
        <f>VLOOKUP(Vlookup!D261,'CDCM Forecast Data'!$A$14:$I$271,5,FALSE)</f>
        <v>0.76317637235957336</v>
      </c>
      <c r="E288" s="10" t="s">
        <v>262</v>
      </c>
      <c r="F288"/>
      <c r="G288"/>
      <c r="H288"/>
      <c r="I288"/>
      <c r="J288"/>
      <c r="K288"/>
    </row>
    <row r="289" spans="1:11" ht="15">
      <c r="A289" s="11" t="s">
        <v>133</v>
      </c>
      <c r="B289" s="16">
        <f>VLOOKUP(Vlookup!B262,'CDCM Forecast Data'!$A$14:$I$271,5,FALSE)</f>
        <v>7.5341202673786759E-2</v>
      </c>
      <c r="C289" s="16">
        <f>VLOOKUP(Vlookup!C262,'CDCM Forecast Data'!$A$14:$I$271,5,FALSE)</f>
        <v>0.32694556247045986</v>
      </c>
      <c r="D289" s="16">
        <f>VLOOKUP(Vlookup!D262,'CDCM Forecast Data'!$A$14:$I$271,5,FALSE)</f>
        <v>0.59771323485575345</v>
      </c>
      <c r="E289" s="10" t="s">
        <v>262</v>
      </c>
      <c r="F289"/>
      <c r="G289"/>
      <c r="H289"/>
      <c r="I289"/>
      <c r="J289"/>
      <c r="K289"/>
    </row>
    <row r="290" spans="1:11" ht="15">
      <c r="A290" s="11" t="s">
        <v>134</v>
      </c>
      <c r="B290" s="16">
        <f>VLOOKUP(Vlookup!B263,'CDCM Forecast Data'!$A$14:$I$271,5,FALSE)</f>
        <v>3.3590963197314191E-3</v>
      </c>
      <c r="C290" s="16">
        <f>VLOOKUP(Vlookup!C263,'CDCM Forecast Data'!$A$14:$I$271,5,FALSE)</f>
        <v>0.7385027664723034</v>
      </c>
      <c r="D290" s="16">
        <f>VLOOKUP(Vlookup!D263,'CDCM Forecast Data'!$A$14:$I$271,5,FALSE)</f>
        <v>0.25813813720796519</v>
      </c>
      <c r="E290" s="10"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11" t="s">
        <v>243</v>
      </c>
      <c r="B297" s="19">
        <f>VLOOKUP(Vlookup!B270,'CDCM Forecast Data'!$A$14:$I$271,5,FALSE)</f>
        <v>190</v>
      </c>
      <c r="C297" s="19">
        <f>VLOOKUP(Vlookup!C270,'CDCM Forecast Data'!$A$14:$I$271,5,FALSE)</f>
        <v>4233</v>
      </c>
      <c r="D297" s="19">
        <f>VLOOKUP(Vlookup!D270,'CDCM Forecast Data'!$A$14:$I$271,5,FALSE)</f>
        <v>4361</v>
      </c>
      <c r="E297" s="10"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11" t="s">
        <v>243</v>
      </c>
      <c r="B304" s="19">
        <f>VLOOKUP(Vlookup!B277,'CDCM Forecast Data'!$A$14:$I$271,5,FALSE)</f>
        <v>655</v>
      </c>
      <c r="C304" s="19">
        <f>VLOOKUP(Vlookup!C277,'CDCM Forecast Data'!$A$14:$I$271,5,FALSE)</f>
        <v>3768</v>
      </c>
      <c r="D304" s="19">
        <f>VLOOKUP(Vlookup!D277,'CDCM Forecast Data'!$A$14:$I$271,5,FALSE)</f>
        <v>4361</v>
      </c>
      <c r="E304" s="10"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20"/>
      <c r="C309" s="20"/>
      <c r="D309" s="20"/>
      <c r="E309"/>
      <c r="F309"/>
      <c r="G309"/>
      <c r="H309"/>
      <c r="I309"/>
      <c r="J309"/>
      <c r="K309"/>
    </row>
    <row r="310" spans="1:11" ht="15">
      <c r="A310"/>
      <c r="B310" s="3" t="s">
        <v>233</v>
      </c>
      <c r="C310" s="3" t="s">
        <v>234</v>
      </c>
      <c r="D310" s="3" t="s">
        <v>235</v>
      </c>
      <c r="E310" s="3" t="s">
        <v>238</v>
      </c>
      <c r="F310"/>
      <c r="G310"/>
      <c r="H310"/>
      <c r="I310"/>
      <c r="J310"/>
      <c r="K310"/>
    </row>
    <row r="311" spans="1:11" ht="15">
      <c r="A311" s="11" t="s">
        <v>60</v>
      </c>
      <c r="B311" s="16">
        <f>VLOOKUP(Vlookup!B283,'CDCM Forecast Data'!$A$14:$I$271,5,FALSE)</f>
        <v>0.62879119434947672</v>
      </c>
      <c r="C311" s="16">
        <f>VLOOKUP(Vlookup!C283,'CDCM Forecast Data'!$A$14:$I$271,5,FALSE)</f>
        <v>0.36482447333707807</v>
      </c>
      <c r="D311" s="16">
        <f>VLOOKUP(Vlookup!D283,'CDCM Forecast Data'!$A$14:$I$271,5,FALSE)</f>
        <v>6.3843323134452623E-3</v>
      </c>
      <c r="E311" s="16">
        <f>VLOOKUP(Vlookup!E283,'CDCM Forecast Data'!$A$14:$I$271,5,FALSE)</f>
        <v>0.39570245808243315</v>
      </c>
      <c r="F311" s="10" t="s">
        <v>262</v>
      </c>
      <c r="G311"/>
      <c r="H311"/>
      <c r="I311"/>
      <c r="J311"/>
      <c r="K311"/>
    </row>
    <row r="312" spans="1:11" ht="15">
      <c r="A312" s="11" t="s">
        <v>61</v>
      </c>
      <c r="B312" s="16">
        <f>VLOOKUP(Vlookup!B284,'CDCM Forecast Data'!$A$14:$I$271,5,FALSE)</f>
        <v>0.62174924523091402</v>
      </c>
      <c r="C312" s="16">
        <f>VLOOKUP(Vlookup!C284,'CDCM Forecast Data'!$A$14:$I$271,5,FALSE)</f>
        <v>0.3027754828809584</v>
      </c>
      <c r="D312" s="16">
        <f>VLOOKUP(Vlookup!D284,'CDCM Forecast Data'!$A$14:$I$271,5,FALSE)</f>
        <v>7.547527188812754E-2</v>
      </c>
      <c r="E312" s="16">
        <f>VLOOKUP(Vlookup!E284,'CDCM Forecast Data'!$A$14:$I$271,5,FALSE)</f>
        <v>0.56604499762027283</v>
      </c>
      <c r="F312" s="10" t="s">
        <v>262</v>
      </c>
      <c r="G312"/>
      <c r="H312"/>
      <c r="I312"/>
      <c r="J312"/>
      <c r="K312"/>
    </row>
    <row r="313" spans="1:11" ht="15">
      <c r="A313" s="11" t="s">
        <v>62</v>
      </c>
      <c r="B313" s="16">
        <f>VLOOKUP(Vlookup!B285,'CDCM Forecast Data'!$A$14:$I$271,5,FALSE)</f>
        <v>0.62174924523091402</v>
      </c>
      <c r="C313" s="16">
        <f>VLOOKUP(Vlookup!C285,'CDCM Forecast Data'!$A$14:$I$271,5,FALSE)</f>
        <v>0.3027754828809584</v>
      </c>
      <c r="D313" s="16">
        <f>VLOOKUP(Vlookup!D285,'CDCM Forecast Data'!$A$14:$I$271,5,FALSE)</f>
        <v>7.547527188812754E-2</v>
      </c>
      <c r="E313" s="16">
        <f>VLOOKUP(Vlookup!E285,'CDCM Forecast Data'!$A$14:$I$271,5,FALSE)</f>
        <v>0.56604499762027283</v>
      </c>
      <c r="F313" s="10" t="s">
        <v>262</v>
      </c>
      <c r="G313"/>
      <c r="H313"/>
      <c r="I313"/>
      <c r="J313"/>
      <c r="K313"/>
    </row>
    <row r="314" spans="1:11" ht="15">
      <c r="A314" s="11" t="s">
        <v>63</v>
      </c>
      <c r="B314" s="16">
        <f>VLOOKUP(Vlookup!B286,'CDCM Forecast Data'!$A$14:$I$271,5,FALSE)</f>
        <v>0.57235676252107026</v>
      </c>
      <c r="C314" s="16">
        <f>VLOOKUP(Vlookup!C286,'CDCM Forecast Data'!$A$14:$I$271,5,FALSE)</f>
        <v>0.37197918727209278</v>
      </c>
      <c r="D314" s="16">
        <f>VLOOKUP(Vlookup!D286,'CDCM Forecast Data'!$A$14:$I$271,5,FALSE)</f>
        <v>5.5664050206836936E-2</v>
      </c>
      <c r="E314" s="16">
        <f>VLOOKUP(Vlookup!E286,'CDCM Forecast Data'!$A$14:$I$271,5,FALSE)</f>
        <v>0.52685467635274164</v>
      </c>
      <c r="F314" s="10" t="s">
        <v>262</v>
      </c>
      <c r="G314"/>
      <c r="H314"/>
      <c r="I314"/>
      <c r="J314"/>
      <c r="K314"/>
    </row>
    <row r="315" spans="1:11" ht="15">
      <c r="A315" s="11" t="s">
        <v>64</v>
      </c>
      <c r="B315" s="16">
        <f>VLOOKUP(Vlookup!B287,'CDCM Forecast Data'!$A$14:$I$271,5,FALSE)</f>
        <v>0.57235676252107026</v>
      </c>
      <c r="C315" s="16">
        <f>VLOOKUP(Vlookup!C287,'CDCM Forecast Data'!$A$14:$I$271,5,FALSE)</f>
        <v>0.37197918727209278</v>
      </c>
      <c r="D315" s="16">
        <f>VLOOKUP(Vlookup!D287,'CDCM Forecast Data'!$A$14:$I$271,5,FALSE)</f>
        <v>5.5664050206836936E-2</v>
      </c>
      <c r="E315" s="16">
        <f>VLOOKUP(Vlookup!E287,'CDCM Forecast Data'!$A$14:$I$271,5,FALSE)</f>
        <v>0.52685467635274164</v>
      </c>
      <c r="F315" s="10" t="s">
        <v>262</v>
      </c>
      <c r="G315"/>
      <c r="H315"/>
      <c r="I315"/>
      <c r="J315"/>
      <c r="K315"/>
    </row>
    <row r="316" spans="1:11" ht="15">
      <c r="A316" s="11" t="s">
        <v>69</v>
      </c>
      <c r="B316" s="16">
        <f>VLOOKUP(Vlookup!B288,'CDCM Forecast Data'!$A$14:$I$271,5,FALSE)</f>
        <v>0.62174924523091402</v>
      </c>
      <c r="C316" s="16">
        <f>VLOOKUP(Vlookup!C288,'CDCM Forecast Data'!$A$14:$I$271,5,FALSE)</f>
        <v>0.3027754828809584</v>
      </c>
      <c r="D316" s="16">
        <f>VLOOKUP(Vlookup!D288,'CDCM Forecast Data'!$A$14:$I$271,5,FALSE)</f>
        <v>7.547527188812754E-2</v>
      </c>
      <c r="E316" s="16">
        <f>VLOOKUP(Vlookup!E288,'CDCM Forecast Data'!$A$14:$I$271,5,FALSE)</f>
        <v>0.56604499762027283</v>
      </c>
      <c r="F316" s="10" t="s">
        <v>262</v>
      </c>
      <c r="G316"/>
      <c r="H316"/>
      <c r="I316"/>
      <c r="J316"/>
      <c r="K316"/>
    </row>
    <row r="317" spans="1:11" ht="15">
      <c r="A317" s="11" t="s">
        <v>65</v>
      </c>
      <c r="B317" s="16">
        <f>VLOOKUP(Vlookup!B289,'CDCM Forecast Data'!$A$14:$I$271,5,FALSE)</f>
        <v>0.57235676252107026</v>
      </c>
      <c r="C317" s="16">
        <f>VLOOKUP(Vlookup!C289,'CDCM Forecast Data'!$A$14:$I$271,5,FALSE)</f>
        <v>0.37197918727209278</v>
      </c>
      <c r="D317" s="16">
        <f>VLOOKUP(Vlookup!D289,'CDCM Forecast Data'!$A$14:$I$271,5,FALSE)</f>
        <v>5.5664050206836936E-2</v>
      </c>
      <c r="E317" s="16">
        <f>VLOOKUP(Vlookup!E289,'CDCM Forecast Data'!$A$14:$I$271,5,FALSE)</f>
        <v>0.52685467635274164</v>
      </c>
      <c r="F317" s="10" t="s">
        <v>262</v>
      </c>
      <c r="G317"/>
      <c r="H317"/>
      <c r="I317"/>
      <c r="J317"/>
      <c r="K317"/>
    </row>
    <row r="318" spans="1:11" ht="15">
      <c r="A318" s="11" t="s">
        <v>66</v>
      </c>
      <c r="B318" s="16">
        <f>VLOOKUP(Vlookup!B290,'CDCM Forecast Data'!$A$14:$I$271,5,FALSE)</f>
        <v>0.57235676252107026</v>
      </c>
      <c r="C318" s="16">
        <f>VLOOKUP(Vlookup!C290,'CDCM Forecast Data'!$A$14:$I$271,5,FALSE)</f>
        <v>0.37197918727209278</v>
      </c>
      <c r="D318" s="16">
        <f>VLOOKUP(Vlookup!D290,'CDCM Forecast Data'!$A$14:$I$271,5,FALSE)</f>
        <v>5.5664050206836936E-2</v>
      </c>
      <c r="E318" s="16">
        <f>VLOOKUP(Vlookup!E290,'CDCM Forecast Data'!$A$14:$I$271,5,FALSE)</f>
        <v>0.52685467635274164</v>
      </c>
      <c r="F318" s="10" t="s">
        <v>262</v>
      </c>
      <c r="G318"/>
      <c r="H318"/>
      <c r="I318"/>
      <c r="J318"/>
      <c r="K318"/>
    </row>
    <row r="319" spans="1:11" ht="15">
      <c r="A319" s="11" t="s">
        <v>67</v>
      </c>
      <c r="B319" s="16">
        <f>VLOOKUP(Vlookup!B291,'CDCM Forecast Data'!$A$14:$I$271,5,FALSE)</f>
        <v>0.57235676252107026</v>
      </c>
      <c r="C319" s="16">
        <f>VLOOKUP(Vlookup!C291,'CDCM Forecast Data'!$A$14:$I$271,5,FALSE)</f>
        <v>0.37197918727209278</v>
      </c>
      <c r="D319" s="16">
        <f>VLOOKUP(Vlookup!D291,'CDCM Forecast Data'!$A$14:$I$271,5,FALSE)</f>
        <v>5.5664050206836936E-2</v>
      </c>
      <c r="E319" s="16">
        <f>VLOOKUP(Vlookup!E291,'CDCM Forecast Data'!$A$14:$I$271,5,FALSE)</f>
        <v>0.52685467635274164</v>
      </c>
      <c r="F319" s="10" t="s">
        <v>262</v>
      </c>
      <c r="G319"/>
      <c r="H319"/>
      <c r="I319"/>
      <c r="J319"/>
      <c r="K319"/>
    </row>
    <row r="320" spans="1:11" ht="15">
      <c r="A320"/>
      <c r="B320"/>
      <c r="C320"/>
      <c r="D320"/>
      <c r="E320"/>
      <c r="F320"/>
      <c r="G320"/>
      <c r="H320"/>
      <c r="I320"/>
      <c r="J320"/>
      <c r="K320"/>
    </row>
    <row r="321" spans="1:11" ht="19.5">
      <c r="A321" s="1" t="s">
        <v>1634</v>
      </c>
      <c r="B321"/>
      <c r="C321"/>
      <c r="D321"/>
      <c r="E321"/>
      <c r="F321"/>
      <c r="G321"/>
      <c r="H321"/>
      <c r="I321"/>
      <c r="J321"/>
      <c r="K321"/>
    </row>
    <row r="322" spans="1:11" ht="15">
      <c r="A322" s="2" t="s">
        <v>1633</v>
      </c>
      <c r="B322"/>
      <c r="C322"/>
      <c r="D322"/>
      <c r="E322"/>
      <c r="F322"/>
      <c r="G322"/>
      <c r="H322"/>
      <c r="I322"/>
      <c r="J322"/>
      <c r="K322"/>
    </row>
    <row r="323" spans="1:11" ht="15">
      <c r="A323"/>
      <c r="B323"/>
      <c r="C323"/>
      <c r="D323"/>
      <c r="E323"/>
      <c r="F323"/>
      <c r="G323"/>
      <c r="H323"/>
      <c r="I323"/>
      <c r="J323"/>
      <c r="K323"/>
    </row>
    <row r="324" spans="1:11" ht="30">
      <c r="A324"/>
      <c r="B324" s="3" t="s">
        <v>1632</v>
      </c>
      <c r="C324"/>
      <c r="D324"/>
      <c r="E324"/>
      <c r="F324"/>
      <c r="G324"/>
      <c r="H324"/>
      <c r="I324"/>
      <c r="J324"/>
      <c r="K324"/>
    </row>
    <row r="325" spans="1:11" ht="15">
      <c r="A325" s="11" t="s">
        <v>1632</v>
      </c>
      <c r="B325" s="14">
        <f>1000000*'Table 1'!F47</f>
        <v>204580020.66796848</v>
      </c>
      <c r="C325" s="10"/>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11" t="s">
        <v>251</v>
      </c>
      <c r="B332" s="4">
        <f>VLOOKUP(Vlookup!B298,'CDCM Forecast Data'!$A$14:$I$271,5,FALSE)</f>
        <v>0.27489787150128192</v>
      </c>
      <c r="C332" s="4">
        <f>VLOOKUP(Vlookup!C298,'CDCM Forecast Data'!$A$14:$I$271,5,FALSE)</f>
        <v>0.27489787150128192</v>
      </c>
      <c r="D332" s="4">
        <f>VLOOKUP(Vlookup!D298,'CDCM Forecast Data'!$A$14:$I$271,5,FALSE)</f>
        <v>0.27489787150128192</v>
      </c>
      <c r="E332" s="4">
        <f>VLOOKUP(Vlookup!E298,'CDCM Forecast Data'!$A$14:$I$271,5,FALSE)</f>
        <v>0.27489787150128192</v>
      </c>
      <c r="F332" s="4">
        <f>VLOOKUP(Vlookup!F298,'CDCM Forecast Data'!$A$14:$I$271,5,FALSE)</f>
        <v>0.27489787150128192</v>
      </c>
      <c r="G332" s="4">
        <f>VLOOKUP(Vlookup!G298,'CDCM Forecast Data'!$A$14:$I$271,5,FALSE)</f>
        <v>0.27489787150128192</v>
      </c>
      <c r="H332" s="4">
        <f>VLOOKUP(Vlookup!H298,'CDCM Forecast Data'!$A$14:$I$271,5,FALSE)</f>
        <v>0.27489787150128192</v>
      </c>
      <c r="I332" s="4">
        <f>VLOOKUP(Vlookup!I298,'CDCM Forecast Data'!$A$14:$I$271,5,FALSE)</f>
        <v>0.27489787150128192</v>
      </c>
      <c r="J332" s="4">
        <f>VLOOKUP(Vlookup!J298,'CDCM Forecast Data'!$A$14:$I$271,5,FALSE)</f>
        <v>0.27489787150128192</v>
      </c>
      <c r="K332" s="10" t="s">
        <v>262</v>
      </c>
    </row>
  </sheetData>
  <dataValidations count="7">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he coincidence factor must be between 0% and 100%." sqref="B118 B121">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number in this cell must be between 0% and 100%." sqref="B90:I90 B95:F98 B68:I83">
      <formula1>0</formula1>
      <formula2>1</formula2>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2" ma:contentTypeDescription="Create a new document." ma:contentTypeScope="" ma:versionID="2bd73b99a261c4fe1bbf43baf143f4b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8</DocumentCategory>
    <DateLastActivated1 xmlns="c7312139-f4c2-453d-a4c8-c631b6303d87">2014-11-19T15:44:25+00:00</DateLastActivated1>
    <Commitees xmlns="c7312139-f4c2-453d-a4c8-c631b6303d87"/>
    <DocNotes xmlns="c7312139-f4c2-453d-a4c8-c631b6303d87" xsi:nil="true"/>
    <Activities xmlns="c7312139-f4c2-453d-a4c8-c631b6303d87"/>
    <Issues xmlns="c7312139-f4c2-453d-a4c8-c631b6303d87"/>
    <PublishDate xmlns="c7312139-f4c2-453d-a4c8-c631b6303d87">2014-11-19T00:00:00+00:00</PublishDate>
    <ChangeProposal1 xmlns="c7312139-f4c2-453d-a4c8-c631b6303d87"/>
    <Confidential1 xmlns="c7312139-f4c2-453d-a4c8-c631b6303d87">false</Confidential1>
    <DocType xmlns="c7312139-f4c2-453d-a4c8-c631b6303d87">11</DocType>
    <Restricted xmlns="830862f3-40c2-43d5-9778-1909aaa95bc7">false</Restricted>
    <DateLastDeactivated1 xmlns="c7312139-f4c2-453d-a4c8-c631b6303d87" xsi:nil="true"/>
    <DocVersion xmlns="c7312139-f4c2-453d-a4c8-c631b6303d87">pre-release</DocVersion>
    <Archived xmlns="c7312139-f4c2-453d-a4c8-c631b6303d87">false</Archived>
    <SQLID xmlns="c7312139-f4c2-453d-a4c8-c631b6303d87" xsi:nil="true"/>
  </documentManagement>
</p:properties>
</file>

<file path=customXml/itemProps1.xml><?xml version="1.0" encoding="utf-8"?>
<ds:datastoreItem xmlns:ds="http://schemas.openxmlformats.org/officeDocument/2006/customXml" ds:itemID="{A6C411C2-C9AB-4409-BED6-9ADB033FC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F73F13-3287-4BE3-875D-CF6E353A0137}">
  <ds:schemaRefs>
    <ds:schemaRef ds:uri="http://schemas.microsoft.com/sharepoint/v3/contenttype/forms"/>
  </ds:schemaRefs>
</ds:datastoreItem>
</file>

<file path=customXml/itemProps3.xml><?xml version="1.0" encoding="utf-8"?>
<ds:datastoreItem xmlns:ds="http://schemas.openxmlformats.org/officeDocument/2006/customXml" ds:itemID="{BBD4180D-3690-4270-81D8-07CE69502BD2}">
  <ds:schemaRefs>
    <ds:schemaRef ds:uri="http://schemas.microsoft.com/sharepoint/events"/>
  </ds:schemaRefs>
</ds:datastoreItem>
</file>

<file path=customXml/itemProps4.xml><?xml version="1.0" encoding="utf-8"?>
<ds:datastoreItem xmlns:ds="http://schemas.openxmlformats.org/officeDocument/2006/customXml" ds:itemID="{28613E7E-6246-4F41-8AFB-63CB473F2CB9}">
  <ds:schemaRefs>
    <ds:schemaRef ds:uri="http://schemas.microsoft.com/office/2006/metadata/properties"/>
    <ds:schemaRef ds:uri="http://purl.org/dc/terms/"/>
    <ds:schemaRef ds:uri="http://purl.org/dc/elements/1.1/"/>
    <ds:schemaRef ds:uri="830862f3-40c2-43d5-9778-1909aaa95bc7"/>
    <ds:schemaRef ds:uri="http://www.w3.org/XML/1998/namespace"/>
    <ds:schemaRef ds:uri="http://schemas.microsoft.com/office/2006/documentManagement/types"/>
    <ds:schemaRef ds:uri="c7312139-f4c2-453d-a4c8-c631b6303d87"/>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Overview</vt:lpstr>
      <vt:lpstr>Commentary</vt:lpstr>
      <vt:lpstr>CDCM Forecast Data</vt:lpstr>
      <vt:lpstr>Table 1</vt:lpstr>
      <vt:lpstr>Smoothed Input Details</vt:lpstr>
      <vt:lpstr>Mat of App</vt:lpstr>
      <vt:lpstr>CDCM Volume Forecasts</vt:lpstr>
      <vt:lpstr>CDCM Timebands</vt:lpstr>
      <vt:lpstr>(Y)</vt:lpstr>
      <vt:lpstr>(Y+1)</vt:lpstr>
      <vt:lpstr>(Y+2)</vt:lpstr>
      <vt:lpstr>(Y+3)</vt:lpstr>
      <vt:lpstr>(Y+4)</vt:lpstr>
      <vt:lpstr>Tariffs ARP</vt:lpstr>
      <vt:lpstr>Typical Bill</vt:lpstr>
      <vt:lpstr>Vlookup</vt:lpstr>
      <vt:lpstr>Tariffs</vt:lpstr>
      <vt:lpstr>Summary</vt:lpstr>
      <vt:lpstr>CDCM</vt:lpstr>
      <vt:lpstr>Vlookup!Forcast_Data</vt:lpstr>
      <vt:lpstr>CDCM!Print_Area</vt:lpstr>
      <vt:lpstr>'Table 1'!Print_Area</vt:lpstr>
      <vt:lpstr>'Typical Bill'!Print_Area</vt:lpstr>
      <vt:lpstr>'CDCM Forecast Data'!Print_Titles</vt:lpstr>
      <vt:lpstr>'Typical Bill'!Print_Titles</vt:lpstr>
      <vt:lpstr>Vlookup!Volume_Forecast_Data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ARP_1 April 2015 Pre-Release</dc:title>
  <dc:subject/>
  <dc:creator/>
  <cp:keywords/>
  <dc:description/>
  <cp:lastModifiedBy>Wornell, Dave I.</cp:lastModifiedBy>
  <cp:lastPrinted>2014-12-11T16:47:43Z</cp:lastPrinted>
  <dcterms:created xsi:type="dcterms:W3CDTF">2014-01-20T03:17:41Z</dcterms:created>
  <dcterms:modified xsi:type="dcterms:W3CDTF">2014-12-12T12:45:19Z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