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81" lockStructure="1"/>
  <bookViews>
    <workbookView xWindow="480" yWindow="135" windowWidth="18195" windowHeight="11700" activeTab="1"/>
  </bookViews>
  <sheets>
    <sheet name="Heat Pump Determination" sheetId="2" r:id="rId1"/>
    <sheet name="Impedance Calculator" sheetId="1" r:id="rId2"/>
    <sheet name="Sheet1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5" i="1" l="1"/>
  <c r="C19" i="1"/>
  <c r="E28" i="1"/>
  <c r="C42" i="1"/>
  <c r="G7" i="3" l="1"/>
  <c r="G6" i="3"/>
  <c r="F6" i="3"/>
  <c r="F5" i="3"/>
  <c r="C7" i="3"/>
  <c r="C6" i="3"/>
  <c r="C5" i="3"/>
  <c r="F7" i="3"/>
  <c r="F8" i="2"/>
  <c r="F10" i="2"/>
  <c r="F12" i="2"/>
  <c r="G14" i="2"/>
  <c r="D16" i="2"/>
  <c r="F16" i="2" s="1"/>
  <c r="F20" i="2"/>
  <c r="F25" i="2"/>
  <c r="F26" i="2"/>
  <c r="F29" i="2"/>
  <c r="C9" i="3" l="1"/>
  <c r="C50" i="1" s="1"/>
  <c r="F18" i="2"/>
  <c r="F9" i="3"/>
  <c r="G16" i="1" s="1"/>
  <c r="C46" i="1" l="1"/>
  <c r="C28" i="1"/>
  <c r="C32" i="1" l="1"/>
  <c r="C38" i="1" s="1"/>
  <c r="C54" i="1" s="1"/>
  <c r="G7" i="1" l="1"/>
  <c r="G12" i="1"/>
</calcChain>
</file>

<file path=xl/sharedStrings.xml><?xml version="1.0" encoding="utf-8"?>
<sst xmlns="http://schemas.openxmlformats.org/spreadsheetml/2006/main" count="66" uniqueCount="54">
  <si>
    <t>Sum</t>
  </si>
  <si>
    <t>(1) - Cells to be used for the installation of chargers with different rating / capacity</t>
  </si>
  <si>
    <t>Notes;</t>
  </si>
  <si>
    <t>Quantity</t>
  </si>
  <si>
    <t>Three Phase</t>
  </si>
  <si>
    <t>Short circuit power (MVA)</t>
  </si>
  <si>
    <t>Impedance calculator for equipment compliant with BSEN 61000 - 3 - 12 (Rsce=33)</t>
  </si>
  <si>
    <t>EV Short circuit power (three ph)</t>
  </si>
  <si>
    <t>Combined Short circuit power (three ph)</t>
  </si>
  <si>
    <t>Minimum short circuit ratio factor for HP</t>
  </si>
  <si>
    <t>Summation exponent for HP</t>
  </si>
  <si>
    <t>Summation exponent for EV</t>
  </si>
  <si>
    <t>Minimum short circuit ratio factor for EV</t>
  </si>
  <si>
    <t>Configuration of Heat Pump</t>
  </si>
  <si>
    <t>No</t>
  </si>
  <si>
    <t>Manufacturer states Heat Pump System complying with BS EN/IEC 61000-3-11 provided that service current capacity ≥100A per phase?</t>
  </si>
  <si>
    <t>*</t>
  </si>
  <si>
    <t>Ω</t>
  </si>
  <si>
    <t>Z Max provided by manufacturer</t>
  </si>
  <si>
    <r>
      <t>Manufacturer states Heat Pump System complying with EN/IEC 61000-3-11 provided that the source impedance is no more than Z</t>
    </r>
    <r>
      <rPr>
        <vertAlign val="subscript"/>
        <sz val="12"/>
        <color theme="1"/>
        <rFont val="Calibri"/>
        <family val="2"/>
        <scheme val="minor"/>
      </rPr>
      <t>max</t>
    </r>
    <r>
      <rPr>
        <sz val="12"/>
        <color theme="1"/>
        <rFont val="Calibri"/>
        <family val="2"/>
        <scheme val="minor"/>
      </rPr>
      <t>?</t>
    </r>
  </si>
  <si>
    <t>Yes</t>
  </si>
  <si>
    <t>Manufacturer states Heat Pump System meets technical requirements of EN/IEC 61000-3-3?</t>
  </si>
  <si>
    <t>Power Quality - Flicker</t>
  </si>
  <si>
    <t>Rsce</t>
  </si>
  <si>
    <t>(kVA)</t>
  </si>
  <si>
    <r>
      <t>3-phase supply short circuit level, S</t>
    </r>
    <r>
      <rPr>
        <vertAlign val="subscript"/>
        <sz val="12"/>
        <color theme="1"/>
        <rFont val="Calibri"/>
        <family val="2"/>
        <scheme val="minor"/>
      </rPr>
      <t>sc</t>
    </r>
    <r>
      <rPr>
        <sz val="12"/>
        <color theme="1"/>
        <rFont val="Calibri"/>
        <family val="2"/>
        <scheme val="minor"/>
      </rPr>
      <t xml:space="preserve">, required to allow connection under EN 61000-3-12 </t>
    </r>
  </si>
  <si>
    <t>Manufacturer states Heat Pump System complies with EN/IEC 61000-3-12 provided that the short-circuit power Ssc is greater than or equal to xx.</t>
  </si>
  <si>
    <t>Manufacturer states Heat Pump System complying with EN/IEC 61000-3-12?</t>
  </si>
  <si>
    <t xml:space="preserve">Power of Device </t>
  </si>
  <si>
    <t>Power Quality - Harmonics</t>
  </si>
  <si>
    <t>required F/L</t>
  </si>
  <si>
    <t>&gt;100A</t>
  </si>
  <si>
    <t>Ssc</t>
  </si>
  <si>
    <t>Zmax</t>
  </si>
  <si>
    <t>61000-3-12</t>
  </si>
  <si>
    <t>61000-3-3</t>
  </si>
  <si>
    <t>61000-3-2</t>
  </si>
  <si>
    <t>from other sheet</t>
  </si>
  <si>
    <t>Flicker</t>
  </si>
  <si>
    <t>Fault level</t>
  </si>
  <si>
    <t>Harmonics</t>
  </si>
  <si>
    <t>Impedance at PCC (Ohms)</t>
  </si>
  <si>
    <t>Rating of Three phase EV charger (kVA)</t>
  </si>
  <si>
    <t>Rating of Single phase HP (kVA)</t>
  </si>
  <si>
    <r>
      <t xml:space="preserve">Manufacturer states Heat Pump System meets </t>
    </r>
    <r>
      <rPr>
        <u/>
        <sz val="12"/>
        <color theme="1"/>
        <rFont val="Calibri"/>
        <family val="2"/>
        <scheme val="minor"/>
      </rPr>
      <t>technical</t>
    </r>
    <r>
      <rPr>
        <sz val="12"/>
        <color theme="1"/>
        <rFont val="Calibri"/>
        <family val="2"/>
        <scheme val="minor"/>
      </rPr>
      <t xml:space="preserve"> requirements of EN/IEC 61000-3-2?</t>
    </r>
  </si>
  <si>
    <t>HP Short circuit power 3 phase</t>
  </si>
  <si>
    <t>HP Short circuit power 1 ph</t>
  </si>
  <si>
    <t>Single phase</t>
  </si>
  <si>
    <t>Rating of three phase HP (kVA)</t>
  </si>
  <si>
    <r>
      <t>Impedance at Cutout (Ohms)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</si>
  <si>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(2) - Impedance is based on phase configuration as per answered questions within Heat Pump Determination chart</t>
  </si>
  <si>
    <t>Known EV fault level requirement (kVA)</t>
  </si>
  <si>
    <t>Known EV short circuit power</t>
  </si>
  <si>
    <t>(3) - Both Impedance requirements must be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</si>
</sst>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DEE2"/>
        <bgColor indexed="64"/>
      </patternFill>
    </fill>
    <fill>
      <patternFill patternType="solid">
        <fgColor rgb="FFFE970E"/>
        <bgColor indexed="64"/>
      </patternFill>
    </fill>
    <fill>
      <patternFill patternType="solid">
        <fgColor rgb="FFABFD3D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482FC"/>
        <bgColor indexed="64"/>
      </patternFill>
    </fill>
    <fill>
      <patternFill patternType="solid">
        <fgColor rgb="FF00F629"/>
        <bgColor indexed="64"/>
      </patternFill>
    </fill>
    <fill>
      <patternFill patternType="solid">
        <fgColor rgb="FFDF458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0" xfId="0" applyNumberFormat="1" applyFill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12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65" fontId="0" fillId="6" borderId="4" xfId="0" applyNumberFormat="1" applyFill="1" applyBorder="1" applyAlignment="1">
      <alignment horizontal="center"/>
    </xf>
    <xf numFmtId="0" fontId="0" fillId="2" borderId="2" xfId="0" applyFill="1" applyBorder="1"/>
    <xf numFmtId="0" fontId="0" fillId="7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Border="1"/>
    <xf numFmtId="0" fontId="0" fillId="2" borderId="9" xfId="0" applyFill="1" applyBorder="1"/>
    <xf numFmtId="0" fontId="5" fillId="2" borderId="0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0" fontId="0" fillId="8" borderId="4" xfId="0" applyFill="1" applyBorder="1" applyAlignment="1">
      <alignment horizontal="center" vertical="center"/>
    </xf>
    <xf numFmtId="0" fontId="8" fillId="2" borderId="9" xfId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0" fillId="0" borderId="0" xfId="0" applyBorder="1"/>
    <xf numFmtId="0" fontId="0" fillId="9" borderId="4" xfId="0" applyFill="1" applyBorder="1" applyAlignment="1">
      <alignment horizontal="center" vertical="center"/>
    </xf>
    <xf numFmtId="0" fontId="0" fillId="0" borderId="9" xfId="0" applyBorder="1"/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11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5" fillId="10" borderId="4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/>
    <xf numFmtId="0" fontId="5" fillId="9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8" fillId="0" borderId="9" xfId="1" applyBorder="1"/>
    <xf numFmtId="0" fontId="0" fillId="7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/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/>
    </xf>
    <xf numFmtId="165" fontId="15" fillId="13" borderId="4" xfId="0" applyNumberFormat="1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3"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CC4F0"/>
        </patternFill>
      </fill>
    </dxf>
    <dxf>
      <font>
        <b/>
        <i val="0"/>
        <strike/>
        <color rgb="FFFF0000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ABCDF"/>
        </patternFill>
      </fill>
    </dxf>
    <dxf>
      <font>
        <strike/>
        <color rgb="FFFF0000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strike/>
        <color rgb="FFFF0000"/>
      </font>
    </dxf>
  </dxfs>
  <tableStyles count="0" defaultTableStyle="TableStyleMedium2" defaultPivotStyle="PivotStyleLight16"/>
  <colors>
    <mruColors>
      <color rgb="FFDF4580"/>
      <color rgb="FF42DEE2"/>
      <color rgb="FF00F629"/>
      <color rgb="FF1482FC"/>
      <color rgb="FFFD1913"/>
      <color rgb="FFFC8814"/>
      <color rgb="FF25FF97"/>
      <color rgb="FFFCC4F0"/>
      <color rgb="FFFFC7CE"/>
      <color rgb="FFFABC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%20&amp;%20HP%20impedanc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 Pump Determination"/>
      <sheetName val="Impedance Calculator "/>
      <sheetName val="Sheet1"/>
    </sheetNames>
    <sheetDataSet>
      <sheetData sheetId="0">
        <row r="26">
          <cell r="D26" t="str">
            <v>No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Avodcs01\techncal\Policy%20Draft\SD5G\Links%20for%20SD5G\PQ%20hyperlinks\Ssc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/\\Avodcs01\techncal\Policy%20Draft\SD5G\Links%20for%20SD5G\PQ%20hyperlinks\61000312.docx" TargetMode="External"/><Relationship Id="rId1" Type="http://schemas.openxmlformats.org/officeDocument/2006/relationships/hyperlink" Target="file:///\\Avodcs01\techncal\Policy%20Draft\SD5G\Links%20for%20SD5G\PQ%20hyperlinks\6100032.docx" TargetMode="External"/><Relationship Id="rId6" Type="http://schemas.openxmlformats.org/officeDocument/2006/relationships/hyperlink" Target="file:///\\Avodcs01\techncal\Policy%20Draft\SD5G\Links%20for%20SD5G\PQ%20hyperlinks\610003111.docx" TargetMode="External"/><Relationship Id="rId5" Type="http://schemas.openxmlformats.org/officeDocument/2006/relationships/hyperlink" Target="file:///\\Avodcs01\techncal\Policy%20Draft\SD5G\Links%20for%20SD5G\PQ%20hyperlinks\61000311.docx" TargetMode="External"/><Relationship Id="rId4" Type="http://schemas.openxmlformats.org/officeDocument/2006/relationships/hyperlink" Target="file:///\\Avodcs01\techncal\Policy%20Draft\SD5G\Links%20for%20SD5G\PQ%20hyperlinks\61000333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43"/>
  <sheetViews>
    <sheetView zoomScale="80" zoomScaleNormal="80" workbookViewId="0">
      <selection activeCell="P15" sqref="P15"/>
    </sheetView>
  </sheetViews>
  <sheetFormatPr defaultRowHeight="15" x14ac:dyDescent="0.25"/>
  <cols>
    <col min="1" max="1" width="2" style="1" customWidth="1"/>
    <col min="2" max="2" width="3.85546875" customWidth="1"/>
    <col min="3" max="3" width="90.28515625" customWidth="1"/>
    <col min="4" max="4" width="14.42578125" customWidth="1"/>
    <col min="5" max="5" width="4.28515625" customWidth="1"/>
    <col min="6" max="6" width="10.42578125" customWidth="1"/>
    <col min="12" max="12" width="6.28515625" customWidth="1"/>
  </cols>
  <sheetData>
    <row r="1" spans="1:22" ht="10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7.5" customHeight="1" thickBot="1" x14ac:dyDescent="0.3">
      <c r="A2" s="3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1"/>
      <c r="O2" s="31"/>
      <c r="P2" s="31"/>
      <c r="Q2" s="31"/>
      <c r="R2" s="31"/>
      <c r="S2" s="31"/>
      <c r="T2" s="31"/>
      <c r="U2" s="31"/>
      <c r="V2" s="31"/>
    </row>
    <row r="3" spans="1:22" ht="7.5" customHeight="1" x14ac:dyDescent="0.25">
      <c r="A3" s="31"/>
      <c r="B3" s="69"/>
      <c r="C3" s="68"/>
      <c r="D3" s="68"/>
      <c r="E3" s="68"/>
      <c r="F3" s="68"/>
      <c r="G3" s="68"/>
      <c r="H3" s="68"/>
      <c r="I3" s="68"/>
      <c r="J3" s="68"/>
      <c r="K3" s="68"/>
      <c r="L3" s="67"/>
      <c r="M3" s="66"/>
      <c r="N3" s="31"/>
      <c r="O3" s="31"/>
      <c r="P3" s="31"/>
      <c r="Q3" s="31"/>
      <c r="R3" s="31"/>
      <c r="S3" s="31"/>
      <c r="T3" s="31"/>
      <c r="U3" s="31"/>
      <c r="V3" s="31"/>
    </row>
    <row r="4" spans="1:22" ht="18.75" x14ac:dyDescent="0.3">
      <c r="A4" s="31"/>
      <c r="B4" s="37"/>
      <c r="C4" s="55" t="s">
        <v>29</v>
      </c>
      <c r="D4" s="36"/>
      <c r="E4" s="36"/>
      <c r="F4" s="36"/>
      <c r="G4" s="36"/>
      <c r="H4" s="36"/>
      <c r="I4" s="36"/>
      <c r="J4" s="36"/>
      <c r="K4" s="10"/>
      <c r="L4" s="35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9.75" customHeight="1" thickBot="1" x14ac:dyDescent="0.35">
      <c r="A5" s="31"/>
      <c r="B5" s="37"/>
      <c r="C5" s="55"/>
      <c r="D5" s="36"/>
      <c r="E5" s="36"/>
      <c r="F5" s="36"/>
      <c r="G5" s="36"/>
      <c r="H5" s="36"/>
      <c r="I5" s="36"/>
      <c r="J5" s="36"/>
      <c r="K5" s="10"/>
      <c r="L5" s="35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6.5" thickBot="1" x14ac:dyDescent="0.3">
      <c r="A6" s="31"/>
      <c r="B6" s="37"/>
      <c r="C6" s="36" t="s">
        <v>28</v>
      </c>
      <c r="D6" s="60">
        <v>10</v>
      </c>
      <c r="E6" s="38"/>
      <c r="F6" s="59" t="s">
        <v>24</v>
      </c>
      <c r="G6" s="36"/>
      <c r="H6" s="36"/>
      <c r="I6" s="36"/>
      <c r="J6" s="36"/>
      <c r="K6" s="10"/>
      <c r="L6" s="35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9.75" customHeight="1" thickBot="1" x14ac:dyDescent="0.3">
      <c r="A7" s="31"/>
      <c r="B7" s="37"/>
      <c r="C7" s="36"/>
      <c r="D7" s="36"/>
      <c r="E7" s="36"/>
      <c r="F7" s="36"/>
      <c r="G7" s="36"/>
      <c r="H7" s="36"/>
      <c r="I7" s="36"/>
      <c r="J7" s="36"/>
      <c r="K7" s="10"/>
      <c r="L7" s="35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ht="16.5" thickBot="1" x14ac:dyDescent="0.3">
      <c r="A8" s="31"/>
      <c r="B8" s="65" t="s">
        <v>16</v>
      </c>
      <c r="C8" s="38" t="s">
        <v>44</v>
      </c>
      <c r="D8" s="64" t="s">
        <v>20</v>
      </c>
      <c r="E8" s="38"/>
      <c r="F8" s="46" t="str">
        <f>IF($D$8="yes","Proceed to Flicker questions","")</f>
        <v>Proceed to Flicker questions</v>
      </c>
      <c r="G8" s="36"/>
      <c r="H8" s="36"/>
      <c r="I8" s="36"/>
      <c r="J8" s="36"/>
      <c r="K8" s="10"/>
      <c r="L8" s="35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6.5" thickBot="1" x14ac:dyDescent="0.3">
      <c r="A9" s="31"/>
      <c r="B9" s="37"/>
      <c r="C9" s="10"/>
      <c r="D9" s="61"/>
      <c r="E9" s="38"/>
      <c r="F9" s="36"/>
      <c r="G9" s="36"/>
      <c r="H9" s="36"/>
      <c r="I9" s="36"/>
      <c r="J9" s="36"/>
      <c r="K9" s="10"/>
      <c r="L9" s="35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6.5" thickBot="1" x14ac:dyDescent="0.3">
      <c r="A10" s="31"/>
      <c r="B10" s="45" t="s">
        <v>16</v>
      </c>
      <c r="C10" s="36" t="s">
        <v>27</v>
      </c>
      <c r="D10" s="63" t="s">
        <v>14</v>
      </c>
      <c r="E10" s="38"/>
      <c r="F10" s="46" t="str">
        <f>IF($D$10="yes","Proceed to Flicker questions","")</f>
        <v/>
      </c>
      <c r="G10" s="36"/>
      <c r="H10" s="36"/>
      <c r="I10" s="36"/>
      <c r="J10" s="36"/>
      <c r="K10" s="10"/>
      <c r="L10" s="35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6.5" thickBot="1" x14ac:dyDescent="0.3">
      <c r="A11" s="31"/>
      <c r="B11" s="37"/>
      <c r="C11" s="36"/>
      <c r="D11" s="61"/>
      <c r="E11" s="38"/>
      <c r="F11" s="36"/>
      <c r="G11" s="36"/>
      <c r="H11" s="36"/>
      <c r="I11" s="36"/>
      <c r="J11" s="36"/>
      <c r="K11" s="10"/>
      <c r="L11" s="35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31.5" customHeight="1" thickBot="1" x14ac:dyDescent="0.3">
      <c r="A12" s="31"/>
      <c r="B12" s="45" t="s">
        <v>16</v>
      </c>
      <c r="C12" s="52" t="s">
        <v>26</v>
      </c>
      <c r="D12" s="63" t="s">
        <v>20</v>
      </c>
      <c r="E12" s="38"/>
      <c r="F12" s="46" t="str">
        <f>IF($D$12="yes","Enter fault level value provided by manufacturer into Cell D11","")</f>
        <v>Enter fault level value provided by manufacturer into Cell D11</v>
      </c>
      <c r="G12" s="36"/>
      <c r="H12" s="36"/>
      <c r="I12" s="36"/>
      <c r="J12" s="36"/>
      <c r="K12" s="10"/>
      <c r="L12" s="35"/>
      <c r="M12" s="31"/>
      <c r="N12" s="31"/>
      <c r="O12" s="62"/>
      <c r="P12" s="31"/>
      <c r="Q12" s="31"/>
      <c r="R12" s="31"/>
      <c r="S12" s="31"/>
      <c r="T12" s="31"/>
      <c r="U12" s="31"/>
      <c r="V12" s="31"/>
    </row>
    <row r="13" spans="1:22" ht="16.5" thickBot="1" x14ac:dyDescent="0.3">
      <c r="A13" s="31"/>
      <c r="B13" s="37"/>
      <c r="C13" s="52"/>
      <c r="D13" s="61"/>
      <c r="E13" s="38"/>
      <c r="F13" s="36"/>
      <c r="G13" s="36"/>
      <c r="H13" s="36"/>
      <c r="I13" s="36"/>
      <c r="J13" s="36"/>
      <c r="K13" s="10"/>
      <c r="L13" s="35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9.5" thickBot="1" x14ac:dyDescent="0.4">
      <c r="A14" s="31"/>
      <c r="B14" s="37"/>
      <c r="C14" s="36" t="s">
        <v>25</v>
      </c>
      <c r="D14" s="60">
        <v>5000</v>
      </c>
      <c r="E14" s="38"/>
      <c r="F14" s="59" t="s">
        <v>24</v>
      </c>
      <c r="G14" s="58" t="str">
        <f>IF($D$14="Yes","Procede to Impedance Calculator 2","")</f>
        <v/>
      </c>
      <c r="H14" s="36"/>
      <c r="I14" s="36"/>
      <c r="J14" s="36"/>
      <c r="K14" s="10"/>
      <c r="L14" s="35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6.5" thickBot="1" x14ac:dyDescent="0.3">
      <c r="A15" s="31"/>
      <c r="B15" s="37"/>
      <c r="C15" s="36"/>
      <c r="D15" s="47"/>
      <c r="E15" s="38"/>
      <c r="F15" s="36"/>
      <c r="G15" s="36"/>
      <c r="H15" s="36"/>
      <c r="I15" s="36"/>
      <c r="J15" s="36"/>
      <c r="K15" s="10"/>
      <c r="L15" s="35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6.5" thickBot="1" x14ac:dyDescent="0.3">
      <c r="A16" s="31"/>
      <c r="B16" s="37"/>
      <c r="C16" s="36" t="s">
        <v>23</v>
      </c>
      <c r="D16" s="57">
        <f>D14/D6</f>
        <v>500</v>
      </c>
      <c r="E16" s="38"/>
      <c r="F16" s="56" t="str">
        <f>IF(D16&lt;15,"Value should be &gt;15 - Ask for revised figures","")</f>
        <v/>
      </c>
      <c r="G16" s="36"/>
      <c r="H16" s="36"/>
      <c r="I16" s="36"/>
      <c r="J16" s="36"/>
      <c r="K16" s="10"/>
      <c r="L16" s="35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5.75" x14ac:dyDescent="0.25">
      <c r="A17" s="31"/>
      <c r="B17" s="37"/>
      <c r="C17" s="36"/>
      <c r="D17" s="38"/>
      <c r="E17" s="38"/>
      <c r="F17" s="36"/>
      <c r="G17" s="36"/>
      <c r="H17" s="36"/>
      <c r="I17" s="36"/>
      <c r="J17" s="36"/>
      <c r="K17" s="10"/>
      <c r="L17" s="35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ht="18.75" x14ac:dyDescent="0.3">
      <c r="A18" s="31"/>
      <c r="B18" s="37"/>
      <c r="C18" s="55" t="s">
        <v>22</v>
      </c>
      <c r="D18" s="38"/>
      <c r="E18" s="38"/>
      <c r="F18" s="54" t="str">
        <f>IF(D16&gt;15,"Proceed to Flicker questions","")</f>
        <v>Proceed to Flicker questions</v>
      </c>
      <c r="G18" s="36"/>
      <c r="H18" s="36"/>
      <c r="I18" s="36"/>
      <c r="J18" s="36"/>
      <c r="K18" s="10"/>
      <c r="L18" s="35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16.5" thickBot="1" x14ac:dyDescent="0.3">
      <c r="A19" s="31"/>
      <c r="B19" s="37"/>
      <c r="C19" s="36"/>
      <c r="D19" s="38"/>
      <c r="E19" s="38"/>
      <c r="F19" s="36"/>
      <c r="G19" s="36"/>
      <c r="H19" s="36"/>
      <c r="I19" s="36"/>
      <c r="J19" s="36"/>
      <c r="K19" s="10"/>
      <c r="L19" s="35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ht="16.5" thickBot="1" x14ac:dyDescent="0.3">
      <c r="A20" s="31"/>
      <c r="B20" s="45" t="s">
        <v>16</v>
      </c>
      <c r="C20" s="53" t="s">
        <v>21</v>
      </c>
      <c r="D20" s="39" t="s">
        <v>20</v>
      </c>
      <c r="E20" s="38"/>
      <c r="F20" s="46" t="str">
        <f>IF($D$20="yes","Proceed to Impedance Calculator","")</f>
        <v>Proceed to Impedance Calculator</v>
      </c>
      <c r="G20" s="36"/>
      <c r="H20" s="36"/>
      <c r="I20" s="36"/>
      <c r="J20" s="36"/>
      <c r="K20" s="10"/>
      <c r="L20" s="35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6.5" thickBot="1" x14ac:dyDescent="0.3">
      <c r="A21" s="31"/>
      <c r="B21" s="37"/>
      <c r="C21" s="36"/>
      <c r="D21" s="47"/>
      <c r="E21" s="38"/>
      <c r="F21" s="36"/>
      <c r="G21" s="36"/>
      <c r="H21" s="36"/>
      <c r="I21" s="36"/>
      <c r="J21" s="36"/>
      <c r="K21" s="10"/>
      <c r="L21" s="35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35.25" thickBot="1" x14ac:dyDescent="0.4">
      <c r="A22" s="31"/>
      <c r="B22" s="45" t="s">
        <v>16</v>
      </c>
      <c r="C22" s="40" t="s">
        <v>19</v>
      </c>
      <c r="D22" s="39" t="s">
        <v>14</v>
      </c>
      <c r="E22" s="38"/>
      <c r="F22" s="36"/>
      <c r="G22" s="36"/>
      <c r="H22" s="36"/>
      <c r="I22" s="36"/>
      <c r="J22" s="36"/>
      <c r="K22" s="10"/>
      <c r="L22" s="35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6.5" thickBot="1" x14ac:dyDescent="0.3">
      <c r="A23" s="31"/>
      <c r="B23" s="37"/>
      <c r="C23" s="52"/>
      <c r="D23" s="47"/>
      <c r="E23" s="38"/>
      <c r="F23" s="36"/>
      <c r="G23" s="36"/>
      <c r="H23" s="36"/>
      <c r="I23" s="36"/>
      <c r="J23" s="36"/>
      <c r="K23" s="10"/>
      <c r="L23" s="35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6.5" thickBot="1" x14ac:dyDescent="0.3">
      <c r="A24" s="31"/>
      <c r="B24" s="51"/>
      <c r="C24" s="10" t="s">
        <v>18</v>
      </c>
      <c r="D24" s="50">
        <v>0.05</v>
      </c>
      <c r="E24" s="49"/>
      <c r="F24" s="48" t="s">
        <v>17</v>
      </c>
      <c r="G24" s="10"/>
      <c r="H24" s="10"/>
      <c r="I24" s="10"/>
      <c r="J24" s="10"/>
      <c r="K24" s="10"/>
      <c r="L24" s="35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6.5" thickBot="1" x14ac:dyDescent="0.3">
      <c r="A25" s="31"/>
      <c r="B25" s="37"/>
      <c r="C25" s="36"/>
      <c r="D25" s="47"/>
      <c r="E25" s="38"/>
      <c r="F25" s="46" t="str">
        <f>IF($D$24&gt;=0.00001,"Proceed to Impedance Calculator","")</f>
        <v>Proceed to Impedance Calculator</v>
      </c>
      <c r="G25" s="36"/>
      <c r="H25" s="36"/>
      <c r="I25" s="36"/>
      <c r="J25" s="36"/>
      <c r="K25" s="10"/>
      <c r="L25" s="35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32.25" thickBot="1" x14ac:dyDescent="0.3">
      <c r="A26" s="31"/>
      <c r="B26" s="45" t="s">
        <v>16</v>
      </c>
      <c r="C26" s="40" t="s">
        <v>15</v>
      </c>
      <c r="D26" s="44" t="s">
        <v>14</v>
      </c>
      <c r="E26" s="38"/>
      <c r="F26" s="83" t="str">
        <f>IF(D26="yes","Enter phase configuration and then proceed to Impedance Calculator ","")</f>
        <v/>
      </c>
      <c r="G26" s="83"/>
      <c r="H26" s="83"/>
      <c r="I26" s="83"/>
      <c r="J26" s="43"/>
      <c r="K26" s="43"/>
      <c r="L26" s="42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6.5" thickBot="1" x14ac:dyDescent="0.3">
      <c r="A27" s="31"/>
      <c r="B27" s="37"/>
      <c r="C27" s="36"/>
      <c r="D27" s="41"/>
      <c r="E27" s="36"/>
      <c r="F27" s="36"/>
      <c r="G27" s="36"/>
      <c r="H27" s="36"/>
      <c r="I27" s="36"/>
      <c r="J27" s="36"/>
      <c r="K27" s="10"/>
      <c r="L27" s="35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6.5" thickBot="1" x14ac:dyDescent="0.3">
      <c r="A28" s="31"/>
      <c r="B28" s="37"/>
      <c r="C28" s="40" t="s">
        <v>13</v>
      </c>
      <c r="D28" s="39" t="s">
        <v>47</v>
      </c>
      <c r="E28" s="38"/>
      <c r="F28" s="36"/>
      <c r="G28" s="36"/>
      <c r="H28" s="36"/>
      <c r="I28" s="36"/>
      <c r="J28" s="36"/>
      <c r="K28" s="10"/>
      <c r="L28" s="35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5.75" x14ac:dyDescent="0.25">
      <c r="A29" s="31"/>
      <c r="B29" s="37"/>
      <c r="C29" s="36"/>
      <c r="D29" s="10"/>
      <c r="E29" s="36"/>
      <c r="F29" s="84" t="str">
        <f>IF(D26="yes", "Please note service cable does not require 100A capacity","")</f>
        <v/>
      </c>
      <c r="G29" s="84"/>
      <c r="H29" s="84"/>
      <c r="I29" s="84"/>
      <c r="J29" s="36"/>
      <c r="K29" s="10"/>
      <c r="L29" s="35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5.75" x14ac:dyDescent="0.25">
      <c r="A30" s="31"/>
      <c r="B30" s="37"/>
      <c r="C30" s="36"/>
      <c r="D30" s="10"/>
      <c r="E30" s="36"/>
      <c r="F30" s="84"/>
      <c r="G30" s="84"/>
      <c r="H30" s="84"/>
      <c r="I30" s="84"/>
      <c r="J30" s="36"/>
      <c r="K30" s="10"/>
      <c r="L30" s="35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15.75" thickBot="1" x14ac:dyDescent="0.3">
      <c r="A31" s="31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2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25">
      <c r="A43" s="31"/>
    </row>
  </sheetData>
  <sheetProtection password="D881" sheet="1" objects="1" scenarios="1"/>
  <mergeCells count="2">
    <mergeCell ref="F26:I26"/>
    <mergeCell ref="F29:I30"/>
  </mergeCells>
  <conditionalFormatting sqref="D16">
    <cfRule type="cellIs" dxfId="12" priority="7" operator="lessThan">
      <formula>15</formula>
    </cfRule>
  </conditionalFormatting>
  <conditionalFormatting sqref="C12:K16">
    <cfRule type="expression" dxfId="11" priority="3">
      <formula>$D$10="Yes"</formula>
    </cfRule>
  </conditionalFormatting>
  <conditionalFormatting sqref="C22:K30">
    <cfRule type="expression" dxfId="10" priority="6">
      <formula>$D$20="yes"</formula>
    </cfRule>
  </conditionalFormatting>
  <conditionalFormatting sqref="C27:K28 C26:F26 C29:E29 J29:K29">
    <cfRule type="expression" dxfId="9" priority="5">
      <formula>$D$22="Yes"</formula>
    </cfRule>
  </conditionalFormatting>
  <conditionalFormatting sqref="C10:I17">
    <cfRule type="expression" dxfId="8" priority="2">
      <formula>$D$8="Yes"</formula>
    </cfRule>
  </conditionalFormatting>
  <conditionalFormatting sqref="D6">
    <cfRule type="cellIs" dxfId="7" priority="1" operator="lessThan">
      <formula>0.1</formula>
    </cfRule>
    <cfRule type="cellIs" dxfId="6" priority="4" operator="greaterThan">
      <formula>51.75</formula>
    </cfRule>
  </conditionalFormatting>
  <dataValidations count="3">
    <dataValidation type="list" allowBlank="1" showInputMessage="1" showErrorMessage="1" sqref="D8 D10 D12 D22:D23">
      <formula1>"Yes, No"</formula1>
    </dataValidation>
    <dataValidation type="list" allowBlank="1" showInputMessage="1" showErrorMessage="1" sqref="D20 D26">
      <formula1>"Yes, No,"</formula1>
    </dataValidation>
    <dataValidation type="list" allowBlank="1" showInputMessage="1" showErrorMessage="1" sqref="D28">
      <formula1>"Single phase, Split phase, Three phase,"</formula1>
    </dataValidation>
  </dataValidations>
  <hyperlinks>
    <hyperlink ref="B8" r:id="rId1"/>
    <hyperlink ref="B10" r:id="rId2"/>
    <hyperlink ref="B12" r:id="rId3"/>
    <hyperlink ref="B20" r:id="rId4"/>
    <hyperlink ref="B22" r:id="rId5"/>
    <hyperlink ref="B26" r:id="rId6"/>
  </hyperlinks>
  <pageMargins left="0.7" right="0.7" top="0.75" bottom="0.75" header="0.3" footer="0.3"/>
  <pageSetup paperSize="9" orientation="portrait" verticalDpi="598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workbookViewId="0">
      <selection activeCell="J11" sqref="J11"/>
    </sheetView>
  </sheetViews>
  <sheetFormatPr defaultRowHeight="15" x14ac:dyDescent="0.25"/>
  <cols>
    <col min="2" max="2" width="9.140625" customWidth="1"/>
    <col min="3" max="3" width="36.5703125" customWidth="1"/>
    <col min="5" max="5" width="15.28515625" customWidth="1"/>
    <col min="7" max="7" width="21" customWidth="1"/>
    <col min="9" max="9" width="12" customWidth="1"/>
  </cols>
  <sheetData>
    <row r="1" spans="1:31" ht="9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x14ac:dyDescent="0.25">
      <c r="A2" s="1"/>
      <c r="B2" s="13"/>
      <c r="C2" s="14"/>
      <c r="D2" s="14"/>
      <c r="E2" s="14"/>
      <c r="F2" s="14"/>
      <c r="G2" s="14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x14ac:dyDescent="0.3">
      <c r="A3" s="1"/>
      <c r="B3" s="16"/>
      <c r="C3" s="17" t="s">
        <v>6</v>
      </c>
      <c r="D3" s="18"/>
      <c r="E3" s="18"/>
      <c r="F3" s="18"/>
      <c r="G3" s="19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6"/>
      <c r="C4" s="19"/>
      <c r="D4" s="19"/>
      <c r="E4" s="19"/>
      <c r="F4" s="19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6"/>
      <c r="C5" s="21" t="s">
        <v>42</v>
      </c>
      <c r="D5" s="22"/>
      <c r="E5" s="21" t="s">
        <v>3</v>
      </c>
      <c r="F5" s="22"/>
      <c r="G5" s="21" t="s">
        <v>5</v>
      </c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thickBot="1" x14ac:dyDescent="0.3">
      <c r="A6" s="1"/>
      <c r="B6" s="16"/>
      <c r="C6" s="22"/>
      <c r="D6" s="22"/>
      <c r="E6" s="22"/>
      <c r="F6" s="22"/>
      <c r="G6" s="22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thickBot="1" x14ac:dyDescent="0.3">
      <c r="A7" s="1"/>
      <c r="B7" s="16"/>
      <c r="C7" s="28">
        <v>50</v>
      </c>
      <c r="D7" s="22"/>
      <c r="E7" s="28">
        <v>0</v>
      </c>
      <c r="F7" s="22"/>
      <c r="G7" s="81">
        <f>C54/1000000</f>
        <v>0.112553</v>
      </c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6"/>
      <c r="C8" s="22"/>
      <c r="D8" s="22"/>
      <c r="E8" s="22"/>
      <c r="F8" s="22"/>
      <c r="G8" s="22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6"/>
      <c r="C9" s="21" t="s">
        <v>51</v>
      </c>
      <c r="D9" s="22"/>
      <c r="E9" s="21"/>
      <c r="F9" s="22"/>
      <c r="G9" s="21" t="s">
        <v>41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thickBot="1" x14ac:dyDescent="0.3">
      <c r="A10" s="1"/>
      <c r="B10" s="16"/>
      <c r="C10" s="22"/>
      <c r="D10" s="22"/>
      <c r="E10" s="22"/>
      <c r="F10" s="22"/>
      <c r="G10" s="23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thickBot="1" x14ac:dyDescent="0.3">
      <c r="A11" s="1"/>
      <c r="B11" s="16"/>
      <c r="C11" s="79">
        <v>0</v>
      </c>
      <c r="D11" s="22"/>
      <c r="E11" s="77"/>
      <c r="F11" s="22"/>
      <c r="G11" s="22" t="s">
        <v>4</v>
      </c>
      <c r="H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thickBot="1" x14ac:dyDescent="0.3">
      <c r="A12" s="1"/>
      <c r="B12" s="16"/>
      <c r="C12" s="22"/>
      <c r="D12" s="22"/>
      <c r="E12" s="22"/>
      <c r="F12" s="22"/>
      <c r="G12" s="29">
        <f>(400^2/C54)</f>
        <v>1.421552513038302</v>
      </c>
      <c r="H12" s="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6"/>
      <c r="C13" s="21" t="s">
        <v>43</v>
      </c>
      <c r="D13" s="23"/>
      <c r="E13" s="21" t="s">
        <v>3</v>
      </c>
      <c r="F13" s="22"/>
      <c r="G13" s="22"/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 thickBot="1" x14ac:dyDescent="0.3">
      <c r="A14" s="1"/>
      <c r="B14" s="16"/>
      <c r="C14" s="23"/>
      <c r="D14" s="23"/>
      <c r="E14" s="22"/>
      <c r="F14" s="22"/>
      <c r="G14" s="21" t="s">
        <v>49</v>
      </c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thickBot="1" x14ac:dyDescent="0.3">
      <c r="A15" s="1"/>
      <c r="B15" s="16"/>
      <c r="C15" s="76">
        <f>'Heat Pump Determination'!D6</f>
        <v>10</v>
      </c>
      <c r="D15" s="23"/>
      <c r="E15" s="27">
        <v>1</v>
      </c>
      <c r="F15" s="22"/>
      <c r="G15" s="22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thickBot="1" x14ac:dyDescent="0.3">
      <c r="A16" s="1"/>
      <c r="B16" s="16"/>
      <c r="C16" s="23"/>
      <c r="D16" s="23"/>
      <c r="E16" s="23"/>
      <c r="F16" s="22"/>
      <c r="G16" s="82">
        <f>Sheet1!F9</f>
        <v>0.47</v>
      </c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7.25" x14ac:dyDescent="0.25">
      <c r="A17" s="1"/>
      <c r="B17" s="16"/>
      <c r="C17" s="21" t="s">
        <v>48</v>
      </c>
      <c r="D17" s="23"/>
      <c r="E17" s="21" t="s">
        <v>3</v>
      </c>
      <c r="F17" s="22"/>
      <c r="G17" s="22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 x14ac:dyDescent="0.3">
      <c r="A18" s="1"/>
      <c r="B18" s="16"/>
      <c r="C18" s="23"/>
      <c r="D18" s="23"/>
      <c r="E18" s="22"/>
      <c r="F18" s="22"/>
      <c r="G18" s="22"/>
      <c r="H18" s="2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thickBot="1" x14ac:dyDescent="0.3">
      <c r="A19" s="1"/>
      <c r="B19" s="16"/>
      <c r="C19" s="80">
        <f>'Heat Pump Determination'!D6</f>
        <v>10</v>
      </c>
      <c r="D19" s="23"/>
      <c r="E19" s="78">
        <v>0</v>
      </c>
      <c r="F19" s="22"/>
      <c r="G19" s="23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thickBot="1" x14ac:dyDescent="0.3">
      <c r="A20" s="1"/>
      <c r="B20" s="24"/>
      <c r="C20" s="25"/>
      <c r="D20" s="25"/>
      <c r="E20" s="25"/>
      <c r="F20" s="25"/>
      <c r="G20" s="25"/>
      <c r="H20" s="2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" customHeight="1" x14ac:dyDescent="0.25">
      <c r="A21" s="1"/>
      <c r="B21" s="10"/>
      <c r="C21" s="11"/>
      <c r="D21" s="11"/>
      <c r="E21" s="11"/>
      <c r="F21" s="11"/>
      <c r="G21" s="11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idden="1" x14ac:dyDescent="0.25">
      <c r="A22" s="1"/>
      <c r="B22" s="10"/>
      <c r="C22" s="11"/>
      <c r="D22" s="11"/>
      <c r="E22" s="11"/>
      <c r="F22" s="11"/>
      <c r="G22" s="11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0"/>
      <c r="C23" s="12" t="s">
        <v>2</v>
      </c>
      <c r="D23" s="11"/>
      <c r="E23" s="11"/>
      <c r="F23" s="11"/>
      <c r="G23" s="1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0"/>
      <c r="C24" s="85" t="s">
        <v>1</v>
      </c>
      <c r="D24" s="85"/>
      <c r="E24" s="85"/>
      <c r="F24" s="85"/>
      <c r="G24" s="85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0"/>
      <c r="C25" s="85" t="s">
        <v>50</v>
      </c>
      <c r="D25" s="85"/>
      <c r="E25" s="85"/>
      <c r="F25" s="85"/>
      <c r="G25" s="85"/>
      <c r="H25" s="85"/>
      <c r="I25" s="8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1.25" hidden="1" customHeight="1" x14ac:dyDescent="0.25">
      <c r="A26" s="1"/>
      <c r="B26" s="1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hidden="1" thickBot="1" x14ac:dyDescent="0.3">
      <c r="A27" s="1"/>
      <c r="B27" s="1"/>
      <c r="C27" s="5" t="s">
        <v>12</v>
      </c>
      <c r="D27" s="5"/>
      <c r="E27" s="5" t="s">
        <v>0</v>
      </c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hidden="1" thickBot="1" x14ac:dyDescent="0.3">
      <c r="A28" s="1"/>
      <c r="B28" s="1"/>
      <c r="C28" s="6">
        <f>IF(E28&lt;6,29.05,IF(E28&gt;7,11.391,20.323))</f>
        <v>29.05</v>
      </c>
      <c r="D28" s="5"/>
      <c r="E28" s="6">
        <f>E7+E15+E19</f>
        <v>1</v>
      </c>
      <c r="F28" s="5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idden="1" x14ac:dyDescent="0.25">
      <c r="A29" s="1"/>
      <c r="B29" s="1"/>
      <c r="C29" s="5"/>
      <c r="D29" s="5"/>
      <c r="E29" s="5"/>
      <c r="F29" s="5"/>
      <c r="G29" s="5"/>
      <c r="H29" s="1"/>
      <c r="I29" s="1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idden="1" x14ac:dyDescent="0.25">
      <c r="A30" s="1"/>
      <c r="B30" s="1"/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hidden="1" thickBot="1" x14ac:dyDescent="0.3">
      <c r="A31" s="1"/>
      <c r="B31" s="1"/>
      <c r="C31" s="5" t="s">
        <v>11</v>
      </c>
      <c r="D31" s="5"/>
      <c r="E31" s="5" t="s">
        <v>10</v>
      </c>
      <c r="F31" s="5"/>
      <c r="G31" s="5"/>
      <c r="H31" s="1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hidden="1" thickBot="1" x14ac:dyDescent="0.3">
      <c r="A32" s="1"/>
      <c r="B32" s="1"/>
      <c r="C32" s="6">
        <f>IF(E28&lt;6,2,IF(E28&gt;7,1,1.4))</f>
        <v>2</v>
      </c>
      <c r="D32" s="5"/>
      <c r="E32" s="6">
        <v>2</v>
      </c>
      <c r="F32" s="5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idden="1" x14ac:dyDescent="0.25">
      <c r="A33" s="1"/>
      <c r="B33" s="1"/>
      <c r="C33" s="5"/>
      <c r="D33" s="5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hidden="1" thickBot="1" x14ac:dyDescent="0.3">
      <c r="A34" s="1"/>
      <c r="B34" s="1"/>
      <c r="C34" s="5"/>
      <c r="D34" s="5"/>
      <c r="E34" s="5" t="s">
        <v>9</v>
      </c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hidden="1" thickBot="1" x14ac:dyDescent="0.3">
      <c r="A35" s="1"/>
      <c r="B35" s="1"/>
      <c r="C35" s="5"/>
      <c r="D35" s="5"/>
      <c r="E35" s="6">
        <v>33</v>
      </c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idden="1" x14ac:dyDescent="0.25">
      <c r="A36" s="1"/>
      <c r="B36" s="1"/>
      <c r="C36" s="4" t="s">
        <v>7</v>
      </c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idden="1" x14ac:dyDescent="0.25">
      <c r="A37" s="1"/>
      <c r="B37" s="1"/>
      <c r="C37" s="3"/>
      <c r="D37" s="5"/>
      <c r="E37" s="5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 thickBot="1" x14ac:dyDescent="0.3">
      <c r="A38" s="1"/>
      <c r="B38" s="1"/>
      <c r="C38" s="2">
        <f>((C28)*(E7*C7^C32)^(1/C32))*1000</f>
        <v>0</v>
      </c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 thickBot="1" x14ac:dyDescent="0.3">
      <c r="A39" s="1"/>
      <c r="B39" s="1"/>
      <c r="C39" s="11"/>
      <c r="D39" s="5"/>
      <c r="E39" s="5"/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idden="1" x14ac:dyDescent="0.25">
      <c r="A40" s="1"/>
      <c r="B40" s="1"/>
      <c r="C40" s="4" t="s">
        <v>52</v>
      </c>
      <c r="D40" s="5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idden="1" x14ac:dyDescent="0.25">
      <c r="A41" s="1"/>
      <c r="B41" s="1"/>
      <c r="C41" s="3"/>
      <c r="D41" s="5"/>
      <c r="E41" s="5"/>
      <c r="F41" s="5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hidden="1" thickBot="1" x14ac:dyDescent="0.3">
      <c r="A42" s="1"/>
      <c r="B42" s="1"/>
      <c r="C42" s="2">
        <f>C11*1000</f>
        <v>0</v>
      </c>
      <c r="D42" s="5"/>
      <c r="E42" s="5"/>
      <c r="F42" s="5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hidden="1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idden="1" x14ac:dyDescent="0.25">
      <c r="A44" s="1"/>
      <c r="B44" s="1"/>
      <c r="C44" s="4" t="s">
        <v>46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idden="1" x14ac:dyDescent="0.25">
      <c r="A45" s="1"/>
      <c r="B45" s="1"/>
      <c r="C45" s="3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hidden="1" thickBot="1" x14ac:dyDescent="0.3">
      <c r="A46" s="1"/>
      <c r="B46" s="1"/>
      <c r="C46" s="2">
        <f>Sheet1!C9*E15</f>
        <v>112553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hidden="1" thickBot="1" x14ac:dyDescent="0.3">
      <c r="A47" s="1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idden="1" x14ac:dyDescent="0.25">
      <c r="A48" s="1"/>
      <c r="B48" s="1"/>
      <c r="C48" s="4" t="s">
        <v>45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idden="1" x14ac:dyDescent="0.25">
      <c r="A49" s="1"/>
      <c r="B49" s="1"/>
      <c r="C49" s="3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hidden="1" thickBot="1" x14ac:dyDescent="0.3">
      <c r="A50" s="1"/>
      <c r="B50" s="1"/>
      <c r="C50" s="2">
        <f>Sheet1!C9*E19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hidden="1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idden="1" x14ac:dyDescent="0.25">
      <c r="A52" s="1"/>
      <c r="B52" s="1"/>
      <c r="C52" s="4" t="s">
        <v>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idden="1" x14ac:dyDescent="0.25">
      <c r="A53" s="1"/>
      <c r="B53" s="1"/>
      <c r="C53" s="3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hidden="1" thickBot="1" x14ac:dyDescent="0.3">
      <c r="A54" s="1"/>
      <c r="B54" s="1"/>
      <c r="C54" s="2">
        <f>(C38^C32+C42^C32+C46^C32+C50^C32)^(1/C32)</f>
        <v>112553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 t="s">
        <v>53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</sheetData>
  <sheetProtection password="D881" sheet="1" objects="1" scenarios="1"/>
  <mergeCells count="2">
    <mergeCell ref="C24:G24"/>
    <mergeCell ref="C25:I25"/>
  </mergeCells>
  <conditionalFormatting sqref="C7">
    <cfRule type="cellIs" dxfId="5" priority="2" operator="greaterThan">
      <formula>51.75</formula>
    </cfRule>
    <cfRule type="cellIs" dxfId="4" priority="10" operator="lessThan">
      <formula>22.081</formula>
    </cfRule>
  </conditionalFormatting>
  <conditionalFormatting sqref="C15">
    <cfRule type="cellIs" dxfId="3" priority="1" operator="lessThan">
      <formula>7.36</formula>
    </cfRule>
    <cfRule type="cellIs" dxfId="2" priority="5" operator="greaterThan">
      <formula>17.25</formula>
    </cfRule>
  </conditionalFormatting>
  <conditionalFormatting sqref="C19">
    <cfRule type="cellIs" dxfId="1" priority="3" operator="greaterThan">
      <formula>51.75</formula>
    </cfRule>
    <cfRule type="cellIs" dxfId="0" priority="4" operator="lessThan">
      <formula>22.081</formula>
    </cfRule>
  </conditionalFormatting>
  <dataValidations count="1">
    <dataValidation allowBlank="1" showInputMessage="1" showErrorMessage="1" prompt="As detailed by 'Known Electric Vehicle Charge Point' spreadsheet" sqref="C1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"/>
  <sheetViews>
    <sheetView workbookViewId="0">
      <selection activeCell="F21" sqref="F21"/>
    </sheetView>
  </sheetViews>
  <sheetFormatPr defaultRowHeight="15" x14ac:dyDescent="0.25"/>
  <cols>
    <col min="2" max="2" width="18" customWidth="1"/>
    <col min="3" max="4" width="15.85546875" customWidth="1"/>
    <col min="5" max="5" width="17.85546875" customWidth="1"/>
    <col min="6" max="6" width="17.42578125" customWidth="1"/>
    <col min="7" max="7" width="18.140625" customWidth="1"/>
  </cols>
  <sheetData>
    <row r="4" spans="2:8" x14ac:dyDescent="0.25">
      <c r="B4" s="74"/>
      <c r="C4" s="74" t="s">
        <v>40</v>
      </c>
      <c r="D4" s="74" t="s">
        <v>39</v>
      </c>
      <c r="E4" s="74"/>
      <c r="F4" s="74" t="s">
        <v>38</v>
      </c>
      <c r="G4" s="74" t="s">
        <v>37</v>
      </c>
    </row>
    <row r="5" spans="2:8" x14ac:dyDescent="0.25">
      <c r="B5" s="75" t="s">
        <v>36</v>
      </c>
      <c r="C5" s="74">
        <f>IF('Heat Pump Determination'!D8="yes",1,0)</f>
        <v>1</v>
      </c>
      <c r="D5" s="74"/>
      <c r="E5" s="74" t="s">
        <v>35</v>
      </c>
      <c r="F5" s="74">
        <f>IF('Heat Pump Determination'!D20="yes",1,0)</f>
        <v>1</v>
      </c>
      <c r="G5" s="74"/>
    </row>
    <row r="6" spans="2:8" x14ac:dyDescent="0.25">
      <c r="B6" s="74" t="s">
        <v>34</v>
      </c>
      <c r="C6" s="74">
        <f>IF('Heat Pump Determination'!D10="yes",('Heat Pump Determination'!D6*33*1000),0)</f>
        <v>0</v>
      </c>
      <c r="D6" s="74"/>
      <c r="E6" s="74" t="s">
        <v>33</v>
      </c>
      <c r="F6" s="74">
        <f>IF('Heat Pump Determination'!D22="yes",1,0)</f>
        <v>0</v>
      </c>
      <c r="G6" s="74">
        <f>'Heat Pump Determination'!D24</f>
        <v>0.05</v>
      </c>
    </row>
    <row r="7" spans="2:8" x14ac:dyDescent="0.25">
      <c r="B7" s="74" t="s">
        <v>32</v>
      </c>
      <c r="C7" s="74">
        <f>IF('Heat Pump Determination'!D14&gt;0,1,0)</f>
        <v>1</v>
      </c>
      <c r="D7" s="74"/>
      <c r="E7" s="74" t="s">
        <v>31</v>
      </c>
      <c r="F7" s="74">
        <f>IF('[1]Heat Pump Determination'!D26="yes",1,0)</f>
        <v>0</v>
      </c>
      <c r="G7" s="74">
        <f>IF('Heat Pump Determination'!D28="single phase",0.3536,IF('Heat Pump Determination'!D28="split phase",0.4243,IF('Heat Pump Determination'!D28="three phase",0.2121,0)))</f>
        <v>0.35360000000000003</v>
      </c>
    </row>
    <row r="8" spans="2:8" x14ac:dyDescent="0.25">
      <c r="B8" s="70"/>
      <c r="C8" s="70"/>
      <c r="D8" s="70"/>
      <c r="E8" s="70"/>
      <c r="F8" s="70"/>
      <c r="G8" s="70"/>
    </row>
    <row r="9" spans="2:8" x14ac:dyDescent="0.25">
      <c r="B9" s="73" t="s">
        <v>30</v>
      </c>
      <c r="C9" s="72">
        <f>IF(C5=1,112553,IF(C6&gt;1,C6,IF(C7&gt;0,'Heat Pump Determination'!D14*1000,0)))</f>
        <v>112553</v>
      </c>
      <c r="D9" s="72"/>
      <c r="E9" s="72"/>
      <c r="F9" s="72">
        <f>IF(F5=1,0.47,IF(F6=1,G6,IF(F7=1,G7,0)))</f>
        <v>0.47</v>
      </c>
      <c r="G9" s="71"/>
      <c r="H9" s="49"/>
    </row>
    <row r="10" spans="2:8" x14ac:dyDescent="0.25">
      <c r="B10" s="70"/>
      <c r="C10" s="70"/>
      <c r="D10" s="70"/>
      <c r="E10" s="70"/>
      <c r="F10" s="70"/>
      <c r="G10" s="70"/>
    </row>
    <row r="11" spans="2:8" x14ac:dyDescent="0.25">
      <c r="B11" s="70"/>
      <c r="C11" s="70"/>
      <c r="D11" s="70"/>
      <c r="E11" s="70"/>
      <c r="F11" s="70"/>
      <c r="G11" s="70"/>
    </row>
    <row r="12" spans="2:8" x14ac:dyDescent="0.25">
      <c r="B12" s="70"/>
      <c r="C12" s="70"/>
      <c r="D12" s="70"/>
      <c r="E12" s="70"/>
      <c r="F12" s="70"/>
      <c r="G12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Heat Pump Determination</vt:lpstr>
      <vt:lpstr>Impedance Calculator</vt:lpstr>
      <vt:lpstr>Sheet1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Treasure, Seth</dc:creator>
  <cp:lastModifiedBy>Treasure, Seth</cp:lastModifiedBy>
  <dcterms:created xsi:type="dcterms:W3CDTF">2018-06-06T12:03:49Z</dcterms:created>
  <dcterms:modified xsi:type="dcterms:W3CDTF">2019-03-04T13:18:28Z</dcterms:modified>
</cp:coreProperties>
</file>